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7.xml.rels" ContentType="application/vnd.openxmlformats-package.relationships+xml"/>
  <Override PartName="/xl/worksheets/_rels/sheet5.xml.rels" ContentType="application/vnd.openxmlformats-package.relationship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4.xml.rels" ContentType="application/vnd.openxmlformats-package.relationships+xml"/>
  <Override PartName="/xl/drawings/_rels/drawing3.xml.rels" ContentType="application/vnd.openxmlformats-package.relationship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ashboard" sheetId="1" state="visible" r:id="rId3"/>
    <sheet name="Portfolio" sheetId="2" state="visible" r:id="rId4"/>
    <sheet name="Calendar" sheetId="3" state="visible" r:id="rId5"/>
    <sheet name="DRIP Projection" sheetId="4" state="visible" r:id="rId6"/>
    <sheet name="Allocation" sheetId="5" state="visible" r:id="rId7"/>
    <sheet name="Watchlist" sheetId="6" state="visible" r:id="rId8"/>
    <sheet name="Tax Estimator" sheetId="7" state="visible" r:id="rId9"/>
    <sheet name="How to Use" sheetId="8" state="visible" r:id="rId10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<sst xmlns="http://schemas.openxmlformats.org/spreadsheetml/2006/main" count="212" uniqueCount="170">
  <si>
    <t xml:space="preserve">SNOWBALL DIVIDEND TRACKER</t>
  </si>
  <si>
    <t xml:space="preserve">Your personal dividend income dashboard</t>
  </si>
  <si>
    <t xml:space="preserve">TOTAL INVESTED</t>
  </si>
  <si>
    <t xml:space="preserve">ANNUAL INCOME</t>
  </si>
  <si>
    <t xml:space="preserve">PORTFOLIO YIELD</t>
  </si>
  <si>
    <t xml:space="preserve">AVG YIELD ON COST</t>
  </si>
  <si>
    <t xml:space="preserve">MONTHLY DIVIDEND INCOME</t>
  </si>
  <si>
    <t xml:space="preserve">Jan</t>
  </si>
  <si>
    <t xml:space="preserve">Feb</t>
  </si>
  <si>
    <t xml:space="preserve">Mar</t>
  </si>
  <si>
    <t xml:space="preserve">Apr</t>
  </si>
  <si>
    <t xml:space="preserve">May</t>
  </si>
  <si>
    <t xml:space="preserve">Jun</t>
  </si>
  <si>
    <t xml:space="preserve">Jul</t>
  </si>
  <si>
    <t xml:space="preserve">Aug</t>
  </si>
  <si>
    <t xml:space="preserve">Sep</t>
  </si>
  <si>
    <t xml:space="preserve">Oct</t>
  </si>
  <si>
    <t xml:space="preserve">Nov</t>
  </si>
  <si>
    <t xml:space="preserve">Dec</t>
  </si>
  <si>
    <t xml:space="preserve">TOP HOLDINGS BY INCOME</t>
  </si>
  <si>
    <t xml:space="preserve">Ticker</t>
  </si>
  <si>
    <t xml:space="preserve">Company</t>
  </si>
  <si>
    <t xml:space="preserve">Shares</t>
  </si>
  <si>
    <t xml:space="preserve">Div Yield</t>
  </si>
  <si>
    <t xml:space="preserve">Annual Income</t>
  </si>
  <si>
    <t xml:space="preserve">% of Total</t>
  </si>
  <si>
    <t xml:space="preserve">YOC</t>
  </si>
  <si>
    <t xml:space="preserve">PORTFOLIO HEALTH</t>
  </si>
  <si>
    <t xml:space="preserve">Total Positions</t>
  </si>
  <si>
    <t xml:space="preserve">Monthly Income (avg)</t>
  </si>
  <si>
    <t xml:space="preserve">Projected 10yr Income</t>
  </si>
  <si>
    <t xml:space="preserve">Div Growth Needed (2x)</t>
  </si>
  <si>
    <t xml:space="preserve">Sector</t>
  </si>
  <si>
    <t xml:space="preserve">Avg Cost</t>
  </si>
  <si>
    <t xml:space="preserve">Current Price</t>
  </si>
  <si>
    <t xml:space="preserve">Total Cost</t>
  </si>
  <si>
    <t xml:space="preserve">Annual Dividend</t>
  </si>
  <si>
    <t xml:space="preserve">Yield on Cost</t>
  </si>
  <si>
    <t xml:space="preserve">Market Value</t>
  </si>
  <si>
    <t xml:space="preserve">Gain/Loss $</t>
  </si>
  <si>
    <t xml:space="preserve">Gain/Loss %</t>
  </si>
  <si>
    <t xml:space="preserve">Weight</t>
  </si>
  <si>
    <t xml:space="preserve">SCHD</t>
  </si>
  <si>
    <t xml:space="preserve">Schwab US Div Equity ETF</t>
  </si>
  <si>
    <t xml:space="preserve">ETF</t>
  </si>
  <si>
    <t xml:space="preserve">VYM</t>
  </si>
  <si>
    <t xml:space="preserve">Vanguard High Div Yield</t>
  </si>
  <si>
    <t xml:space="preserve">O</t>
  </si>
  <si>
    <t xml:space="preserve">Realty Income Corp</t>
  </si>
  <si>
    <t xml:space="preserve">REIT</t>
  </si>
  <si>
    <t xml:space="preserve">JNJ</t>
  </si>
  <si>
    <t xml:space="preserve">Johnson &amp; Johnson</t>
  </si>
  <si>
    <t xml:space="preserve">Healthcare</t>
  </si>
  <si>
    <t xml:space="preserve">KO</t>
  </si>
  <si>
    <t xml:space="preserve">Coca-Cola Company</t>
  </si>
  <si>
    <t xml:space="preserve">Consumer</t>
  </si>
  <si>
    <t xml:space="preserve">PG</t>
  </si>
  <si>
    <t xml:space="preserve">Procter &amp; Gamble</t>
  </si>
  <si>
    <t xml:space="preserve">JEPI</t>
  </si>
  <si>
    <t xml:space="preserve">JPM Equity Premium Inc</t>
  </si>
  <si>
    <t xml:space="preserve">ABBV</t>
  </si>
  <si>
    <t xml:space="preserve">AbbVie Inc</t>
  </si>
  <si>
    <t xml:space="preserve">PEP</t>
  </si>
  <si>
    <t xml:space="preserve">PepsiCo Inc</t>
  </si>
  <si>
    <t xml:space="preserve">TXN</t>
  </si>
  <si>
    <t xml:space="preserve">Texas Instruments</t>
  </si>
  <si>
    <t xml:space="preserve">Tech</t>
  </si>
  <si>
    <t xml:space="preserve">TOTALS</t>
  </si>
  <si>
    <t xml:space="preserve">DIVIDEND PAYMENT CALENDAR</t>
  </si>
  <si>
    <t xml:space="preserve">MONTHLY TOTAL</t>
  </si>
  <si>
    <t xml:space="preserve">ANNUAL TOTAL</t>
  </si>
  <si>
    <t xml:space="preserve">DRIP SNOWBALL PROJECTION</t>
  </si>
  <si>
    <t xml:space="preserve">INPUTS (edit blue cells)</t>
  </si>
  <si>
    <t xml:space="preserve">Starting Portfolio</t>
  </si>
  <si>
    <t xml:space="preserve">Monthly Contribution</t>
  </si>
  <si>
    <t xml:space="preserve">Dividend Yield</t>
  </si>
  <si>
    <t xml:space="preserve">Dividend Growth Rate</t>
  </si>
  <si>
    <t xml:space="preserve">Price Growth Rate</t>
  </si>
  <si>
    <t xml:space="preserve">YEAR-BY-YEAR PROJECTION</t>
  </si>
  <si>
    <t xml:space="preserve">Year</t>
  </si>
  <si>
    <t xml:space="preserve">Portfolio</t>
  </si>
  <si>
    <t xml:space="preserve">Annual Div</t>
  </si>
  <si>
    <t xml:space="preserve">Cumul. Divs</t>
  </si>
  <si>
    <t xml:space="preserve">Total Invested</t>
  </si>
  <si>
    <t xml:space="preserve">Total Return</t>
  </si>
  <si>
    <t xml:space="preserve">PORTFOLIO ALLOCATION</t>
  </si>
  <si>
    <t xml:space="preserve">% of Portfolio</t>
  </si>
  <si>
    <t xml:space="preserve">Financials</t>
  </si>
  <si>
    <t xml:space="preserve">Energy</t>
  </si>
  <si>
    <t xml:space="preserve">Utilities</t>
  </si>
  <si>
    <t xml:space="preserve">DIVIDEND WATCHLIST</t>
  </si>
  <si>
    <t xml:space="preserve">Price</t>
  </si>
  <si>
    <t xml:space="preserve">Yield</t>
  </si>
  <si>
    <t xml:space="preserve">5yr Growth</t>
  </si>
  <si>
    <t xml:space="preserve">Payout %</t>
  </si>
  <si>
    <t xml:space="preserve">Streak</t>
  </si>
  <si>
    <t xml:space="preserve">Aristocrat</t>
  </si>
  <si>
    <t xml:space="preserve">Notes</t>
  </si>
  <si>
    <t xml:space="preserve">MSFT</t>
  </si>
  <si>
    <t xml:space="preserve">Microsoft</t>
  </si>
  <si>
    <t xml:space="preserve">No</t>
  </si>
  <si>
    <t xml:space="preserve">Strong dividend growth, low yield</t>
  </si>
  <si>
    <t xml:space="preserve">HD</t>
  </si>
  <si>
    <t xml:space="preserve">Home Depot</t>
  </si>
  <si>
    <t xml:space="preserve">Yes</t>
  </si>
  <si>
    <t xml:space="preserve">25+ years of increases</t>
  </si>
  <si>
    <t xml:space="preserve">AVGO</t>
  </si>
  <si>
    <t xml:space="preserve">Broadcom</t>
  </si>
  <si>
    <t xml:space="preserve">Semiconductor leader, fast grower</t>
  </si>
  <si>
    <t xml:space="preserve">PepsiCo</t>
  </si>
  <si>
    <t xml:space="preserve">King</t>
  </si>
  <si>
    <t xml:space="preserve">Dividend King - 52 years</t>
  </si>
  <si>
    <t xml:space="preserve">Strong free cash flow</t>
  </si>
  <si>
    <t xml:space="preserve">LOW</t>
  </si>
  <si>
    <t xml:space="preserve">Lowe's Companies</t>
  </si>
  <si>
    <t xml:space="preserve">Dividend King, fast grower</t>
  </si>
  <si>
    <t xml:space="preserve">MCD</t>
  </si>
  <si>
    <t xml:space="preserve">McDonald's Corp</t>
  </si>
  <si>
    <t xml:space="preserve">Global brand, reliable</t>
  </si>
  <si>
    <t xml:space="preserve">UNH</t>
  </si>
  <si>
    <t xml:space="preserve">UnitedHealth Group</t>
  </si>
  <si>
    <t xml:space="preserve">Healthcare giant, fast div growth</t>
  </si>
  <si>
    <t xml:space="preserve">DIVIDEND TAX ESTIMATOR</t>
  </si>
  <si>
    <t xml:space="preserve">YOUR INPUTS</t>
  </si>
  <si>
    <t xml:space="preserve">Qualified Dividends (annual)</t>
  </si>
  <si>
    <t xml:space="preserve">Ordinary Dividends (annual)</t>
  </si>
  <si>
    <t xml:space="preserve">Other Income (salary, etc.)</t>
  </si>
  <si>
    <t xml:space="preserve">Filing Status (1=Single, 2=MFJ)</t>
  </si>
  <si>
    <t xml:space="preserve">State Tax Rate</t>
  </si>
  <si>
    <t xml:space="preserve">TAX CALCULATION</t>
  </si>
  <si>
    <t xml:space="preserve">Total Gross Income</t>
  </si>
  <si>
    <t xml:space="preserve">Qualified Div Tax Rate</t>
  </si>
  <si>
    <t xml:space="preserve">Ordinary Div Tax Rate</t>
  </si>
  <si>
    <t xml:space="preserve">Federal Tax on Qualified</t>
  </si>
  <si>
    <t xml:space="preserve">Federal Tax on Ordinary</t>
  </si>
  <si>
    <t xml:space="preserve">NIIT (3.8%)</t>
  </si>
  <si>
    <t xml:space="preserve">State Tax</t>
  </si>
  <si>
    <t xml:space="preserve">TOTAL TAX</t>
  </si>
  <si>
    <t xml:space="preserve">After-Tax Dividend Income</t>
  </si>
  <si>
    <t xml:space="preserve">Effective Tax Rate</t>
  </si>
  <si>
    <t xml:space="preserve">Monthly After-Tax Income</t>
  </si>
  <si>
    <t xml:space="preserve">After-Tax Income</t>
  </si>
  <si>
    <t xml:space="preserve">Federal Tax</t>
  </si>
  <si>
    <t xml:space="preserve">SNOWBALL DIVIDEND TRACKER — QUICK START GUIDE</t>
  </si>
  <si>
    <t xml:space="preserve">STEP 1: PORTFOLIO TAB</t>
  </si>
  <si>
    <t xml:space="preserve">Enter your holdings: Ticker, Company, Sector, Shares, Avg Cost, Current Price, and Dividend Yield.</t>
  </si>
  <si>
    <t xml:space="preserve">Blue cells are your inputs. All other columns calculate automatically.</t>
  </si>
  <si>
    <t xml:space="preserve">The tracker supports up to 30 positions. Leave unused rows blank.</t>
  </si>
  <si>
    <t xml:space="preserve">STEP 2: CALENDAR TAB</t>
  </si>
  <si>
    <t xml:space="preserve">Enter your expected dividend payments for each month.</t>
  </si>
  <si>
    <t xml:space="preserve">For quarterly payers (most stocks), enter amounts in the 4 months they pay.</t>
  </si>
  <si>
    <t xml:space="preserve">For monthly payers (O, JEPI, MAIN), enter in all 12 months.</t>
  </si>
  <si>
    <t xml:space="preserve">STEP 3: DASHBOARD TAB</t>
  </si>
  <si>
    <t xml:space="preserve">Everything updates automatically. Total income, YOC, monthly breakdown, top holdings.</t>
  </si>
  <si>
    <t xml:space="preserve">Check this tab for a quick overview of your portfolio health.</t>
  </si>
  <si>
    <t xml:space="preserve">STEP 4: DRIP PROJECTION TAB</t>
  </si>
  <si>
    <t xml:space="preserve">Adjust the blue input cells (monthly contribution, yield, growth rates).</t>
  </si>
  <si>
    <t xml:space="preserve">The 25-year projection and chart update automatically.</t>
  </si>
  <si>
    <t xml:space="preserve">STEP 5: ALLOCATION TAB</t>
  </si>
  <si>
    <t xml:space="preserve">Shows your portfolio breakdown by sector with a pie chart.</t>
  </si>
  <si>
    <t xml:space="preserve">Use this to check if you're overweight in any single sector.</t>
  </si>
  <si>
    <t xml:space="preserve">STEP 6: TAX ESTIMATOR TAB</t>
  </si>
  <si>
    <t xml:space="preserve">Enter your qualified/ordinary dividends, other income, and filing status.</t>
  </si>
  <si>
    <t xml:space="preserve">See your federal tax, state tax, NIIT, and after-tax income.</t>
  </si>
  <si>
    <t xml:space="preserve">TIPS</t>
  </si>
  <si>
    <t xml:space="preserve">- Update Current Price monthly for accurate valuations</t>
  </si>
  <si>
    <t xml:space="preserve">- The Watchlist tab is for stocks you're considering buying</t>
  </si>
  <si>
    <t xml:space="preserve">- Gain/Loss cells turn green (positive) or red (negative) automatically</t>
  </si>
  <si>
    <t xml:space="preserve">- Payout ratios above 80% turn red as a warning</t>
  </si>
  <si>
    <t xml:space="preserve">Questions? Visit snowballyield.com or reply to your purchase receipt email.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</si>
</sst>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\$#,##0"/>
    <numFmt numFmtId="166" formatCode="0.00%"/>
    <numFmt numFmtId="167" formatCode="#,##0.00"/>
    <numFmt numFmtId="168" formatCode="\$#,##0.00"/>
    <numFmt numFmtId="169" formatCode="0.0%"/>
    <numFmt numFmtId="170" formatCode="#,##0"/>
    <numFmt numFmtId="171" formatCode="@"/>
    <numFmt numFmtId="172" formatCode="0%"/>
  </numFmts>
  <fonts count="22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8"/>
      <color rgb="FF1E293B"/>
      <name val="Calibri"/>
      <family val="0"/>
      <charset val="1"/>
    </font>
    <font>
      <sz val="9"/>
      <color rgb="FF94A3B8"/>
      <name val="Calibri"/>
      <family val="0"/>
      <charset val="1"/>
    </font>
    <font>
      <b val="true"/>
      <sz val="28"/>
      <color rgb="FF1E293B"/>
      <name val="Calibri"/>
      <family val="0"/>
      <charset val="1"/>
    </font>
    <font>
      <b val="true"/>
      <sz val="14"/>
      <color rgb="FF0EA5E9"/>
      <name val="Calibri"/>
      <family val="0"/>
      <charset val="1"/>
    </font>
    <font>
      <b val="true"/>
      <sz val="10"/>
      <color rgb="FF1E293B"/>
      <name val="Calibri"/>
      <family val="0"/>
      <charset val="1"/>
    </font>
    <font>
      <b val="true"/>
      <sz val="10"/>
      <color rgb="FF15803D"/>
      <name val="Calibri"/>
      <family val="0"/>
      <charset val="1"/>
    </font>
    <font>
      <b val="true"/>
      <sz val="10"/>
      <color rgb="FFFFFFFF"/>
      <name val="Calibri"/>
      <family val="0"/>
      <charset val="1"/>
    </font>
    <font>
      <sz val="10"/>
      <color rgb="FF334155"/>
      <name val="Calibri"/>
      <family val="0"/>
      <charset val="1"/>
    </font>
    <font>
      <b val="true"/>
      <sz val="16"/>
      <color rgb="FF0EA5E9"/>
      <name val="Calibri"/>
      <family val="0"/>
      <charset val="1"/>
    </font>
    <font>
      <b val="true"/>
      <sz val="11"/>
      <color rgb="FF0EA5E9"/>
      <name val="Calibri"/>
      <family val="0"/>
      <charset val="1"/>
    </font>
    <font>
      <b val="true"/>
      <sz val="11"/>
      <color rgb="FFFFFFFF"/>
      <name val="Calibri"/>
      <family val="0"/>
      <charset val="1"/>
    </font>
    <font>
      <b val="true"/>
      <sz val="22"/>
      <color rgb="FF15803D"/>
      <name val="Calibri"/>
      <family val="0"/>
      <charset val="1"/>
    </font>
    <font>
      <b val="true"/>
      <sz val="18"/>
      <color rgb="FF000000"/>
      <name val="Calibri"/>
      <family val="2"/>
    </font>
    <font>
      <sz val="10"/>
      <color rgb="FF000000"/>
      <name val="Calibri"/>
      <family val="2"/>
    </font>
    <font>
      <b val="true"/>
      <sz val="10"/>
      <color rgb="FF000000"/>
      <name val="Calibri"/>
      <family val="2"/>
    </font>
    <font>
      <b val="true"/>
      <sz val="14"/>
      <color rgb="FFEF4444"/>
      <name val="Calibri"/>
      <family val="0"/>
      <charset val="1"/>
    </font>
    <font>
      <b val="true"/>
      <sz val="16"/>
      <color rgb="FF15803D"/>
      <name val="Calibri"/>
      <family val="0"/>
      <charset val="1"/>
    </font>
    <font>
      <u val="single"/>
      <sz val="9"/>
      <color rgb="FF0EA5E9"/>
      <name val="Calibri"/>
      <family val="0"/>
      <charset val="1"/>
    </font>
  </fonts>
  <fills count="7">
    <fill>
      <patternFill patternType="none"/>
    </fill>
    <fill>
      <patternFill patternType="gray125"/>
    </fill>
    <fill>
      <patternFill patternType="solid">
        <fgColor rgb="FFF8FAFC"/>
        <bgColor rgb="FFF9F9F9"/>
      </patternFill>
    </fill>
    <fill>
      <patternFill patternType="solid">
        <fgColor rgb="FFFFFFFF"/>
        <bgColor rgb="FFF8FAFC"/>
      </patternFill>
    </fill>
    <fill>
      <patternFill patternType="solid">
        <fgColor rgb="FF0F172A"/>
        <bgColor rgb="FF1E293B"/>
      </patternFill>
    </fill>
    <fill>
      <patternFill patternType="solid">
        <fgColor rgb="FFF1F5F9"/>
        <bgColor rgb="FFF0F9FF"/>
      </patternFill>
    </fill>
    <fill>
      <patternFill patternType="solid">
        <fgColor rgb="FFF0F9FF"/>
        <bgColor rgb="FFF1F5F9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>
        <color rgb="FFE2E8F0"/>
      </left>
      <right style="thin">
        <color rgb="FFE2E8F0"/>
      </right>
      <top style="thin">
        <color rgb="FFE2E8F0"/>
      </top>
      <bottom style="thin">
        <color rgb="FFE2E8F0"/>
      </bottom>
      <diagonal/>
    </border>
    <border diagonalUp="false" diagonalDown="false">
      <left/>
      <right/>
      <top/>
      <bottom style="medium">
        <color rgb="FF0EA5E9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9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4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5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1" fillId="5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11" fillId="5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11" fillId="5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11" fillId="5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9" fontId="11" fillId="5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8" fillId="3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1" fillId="3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11" fillId="3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11" fillId="3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11" fillId="3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9" fontId="11" fillId="3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0" fontId="12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2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2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3" fillId="5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13" fillId="5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13" fillId="5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9" fillId="5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0" fontId="13" fillId="3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13" fillId="3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13" fillId="3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9" fillId="3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3" fillId="5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3" fillId="5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3" fillId="3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3" fillId="3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0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0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0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0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3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9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3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9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4" fillId="4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3" fillId="6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3" fillId="6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1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1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1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9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5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1" fillId="5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9" fillId="5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1" fillId="5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1" fillId="5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1" fillId="5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9" fillId="5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11" fillId="3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9" fillId="3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2" fontId="11" fillId="5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0" fontId="11" fillId="5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5" fillId="5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2" fontId="11" fillId="3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0" fontId="11" fillId="3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0" fontId="13" fillId="6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1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9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20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">
    <dxf>
      <font>
        <name val="Calibri"/>
        <charset val="1"/>
        <family val="0"/>
        <b val="1"/>
        <color rgb="FF15803D"/>
        <sz val="10"/>
      </font>
      <fill>
        <patternFill>
          <bgColor rgb="FFDCFCE7"/>
        </patternFill>
      </fill>
    </dxf>
    <dxf>
      <font>
        <name val="Calibri"/>
        <charset val="1"/>
        <family val="0"/>
        <b val="1"/>
        <color rgb="FFEF4444"/>
        <sz val="10"/>
      </font>
      <fill>
        <patternFill>
          <bgColor rgb="FFFEE2E2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15803D"/>
      <rgbColor rgb="FF000080"/>
      <rgbColor rgb="FF808000"/>
      <rgbColor rgb="FF800080"/>
      <rgbColor rgb="FF4F81BD"/>
      <rgbColor rgb="FFF1F5F9"/>
      <rgbColor rgb="FF878787"/>
      <rgbColor rgb="FF8B5CF6"/>
      <rgbColor rgb="FFC0504D"/>
      <rgbColor rgb="FFF9F9F9"/>
      <rgbColor rgb="FFDCFCE7"/>
      <rgbColor rgb="FF660066"/>
      <rgbColor rgb="FFEC4899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EA5E9"/>
      <rgbColor rgb="FFF0F9FF"/>
      <rgbColor rgb="FFE2E8F0"/>
      <rgbColor rgb="FFF8FAFC"/>
      <rgbColor rgb="FF99CCFF"/>
      <rgbColor rgb="FFFF99CC"/>
      <rgbColor rgb="FFCC99FF"/>
      <rgbColor rgb="FFFEE2E2"/>
      <rgbColor rgb="FF6366F1"/>
      <rgbColor rgb="FF14B8A6"/>
      <rgbColor rgb="FF99CC00"/>
      <rgbColor rgb="FFFFCC00"/>
      <rgbColor rgb="FFF59E0B"/>
      <rgbColor rgb="FFEF4444"/>
      <rgbColor rgb="FF64748B"/>
      <rgbColor rgb="FF94A3B8"/>
      <rgbColor rgb="FF003366"/>
      <rgbColor rgb="FF22C55E"/>
      <rgbColor rgb="FF0F172A"/>
      <rgbColor rgb="FF333300"/>
      <rgbColor rgb="FF993300"/>
      <rgbColor rgb="FF993366"/>
      <rgbColor rgb="FF334155"/>
      <rgbColor rgb="FF1E293B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sz="1800" spc="-1" strike="noStrike">
                <a:solidFill>
                  <a:srgbClr val="000000"/>
                </a:solidFill>
                <a:latin typeface="Calibri"/>
              </a:rPr>
              <a:t>Monthly Dividend Income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spPr>
            <a:solidFill>
              <a:srgbClr val="22c55e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Calendar!$C$2:$N$2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Calendar!$C$14:$N$14</c:f>
              <c:numCache>
                <c:formatCode>General</c:formatCode>
                <c:ptCount val="12"/>
              </c:numCache>
            </c:numRef>
          </c:val>
        </c:ser>
        <c:ser>
          <c:idx val="1"/>
          <c:order val="1"/>
          <c:spPr>
            <a:solidFill>
              <a:srgbClr val="c0504d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Calendar!$C$2:$N$2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Calendar!$C$15:$N$15</c:f>
              <c:numCache>
                <c:formatCode>\$#,##0.00</c:formatCode>
                <c:ptCount val="12"/>
                <c:pt idx="0">
                  <c:v>122.54</c:v>
                </c:pt>
                <c:pt idx="1">
                  <c:v>153.75</c:v>
                </c:pt>
                <c:pt idx="2">
                  <c:v>281.65</c:v>
                </c:pt>
                <c:pt idx="3">
                  <c:v>122.54</c:v>
                </c:pt>
                <c:pt idx="4">
                  <c:v>153.75</c:v>
                </c:pt>
                <c:pt idx="5">
                  <c:v>281.65</c:v>
                </c:pt>
                <c:pt idx="6">
                  <c:v>122.54</c:v>
                </c:pt>
                <c:pt idx="7">
                  <c:v>153.75</c:v>
                </c:pt>
                <c:pt idx="8">
                  <c:v>281.65</c:v>
                </c:pt>
                <c:pt idx="9">
                  <c:v>122.54</c:v>
                </c:pt>
                <c:pt idx="10">
                  <c:v>153.75</c:v>
                </c:pt>
                <c:pt idx="11">
                  <c:v>281.65</c:v>
                </c:pt>
              </c:numCache>
            </c:numRef>
          </c:val>
        </c:ser>
        <c:gapWidth val="150"/>
        <c:overlap val="0"/>
        <c:axId val="26424854"/>
        <c:axId val="73813898"/>
      </c:barChart>
      <c:catAx>
        <c:axId val="2642485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73813898"/>
        <c:crosses val="autoZero"/>
        <c:auto val="1"/>
        <c:lblAlgn val="ctr"/>
        <c:lblOffset val="100"/>
        <c:noMultiLvlLbl val="0"/>
      </c:catAx>
      <c:valAx>
        <c:axId val="73813898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1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sz="1000" spc="-1" strike="noStrike">
                    <a:solidFill>
                      <a:srgbClr val="000000"/>
                    </a:solidFill>
                    <a:latin typeface="Calibri"/>
                  </a:rPr>
                  <a:t>$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26424854"/>
        <c:crosses val="autoZero"/>
        <c:crossBetween val="between"/>
      </c:valAx>
      <c:spPr>
        <a:noFill/>
        <a:ln w="0">
          <a:noFill/>
        </a:ln>
      </c:spPr>
    </c:plotArea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sz="1800" spc="-1" strike="noStrike">
                <a:solidFill>
                  <a:srgbClr val="000000"/>
                </a:solidFill>
                <a:latin typeface="Calibri"/>
              </a:rPr>
              <a:t>Snowball Growth: Portfolio vs Invested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'DRIP Projection'!C10</c:f>
              <c:strCache>
                <c:ptCount val="1"/>
                <c:pt idx="0">
                  <c:v>Portfolio</c:v>
                </c:pt>
              </c:strCache>
            </c:strRef>
          </c:tx>
          <c:spPr>
            <a:solidFill>
              <a:srgbClr val="0ea5e9"/>
            </a:solidFill>
            <a:ln w="24840">
              <a:solidFill>
                <a:srgbClr val="0ea5e9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'DRIP Projection'!$B$11:$B$36</c:f>
              <c:strCache>
                <c:ptCount val="2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</c:strCache>
            </c:strRef>
          </c:cat>
          <c:val>
            <c:numRef>
              <c:f>'DRIP Projection'!$C$11:$C$36</c:f>
              <c:numCache>
                <c:formatCode>\$#,##0</c:formatCode>
                <c:ptCount val="26"/>
                <c:pt idx="0">
                  <c:v>61816</c:v>
                </c:pt>
                <c:pt idx="1">
                  <c:v>75208.8448</c:v>
                </c:pt>
                <c:pt idx="2">
                  <c:v>90273.349421312</c:v>
                </c:pt>
                <c:pt idx="3">
                  <c:v>107272.212419947</c:v>
                </c:pt>
                <c:pt idx="4">
                  <c:v>126516.213871177</c:v>
                </c:pt>
                <c:pt idx="5">
                  <c:v>148374.186285952</c:v>
                </c:pt>
                <c:pt idx="6">
                  <c:v>173285.297125538</c:v>
                </c:pt>
                <c:pt idx="7">
                  <c:v>201774.235614354</c:v>
                </c:pt>
                <c:pt idx="8">
                  <c:v>234470.063110123</c:v>
                </c:pt>
                <c:pt idx="9">
                  <c:v>272129.703772949</c:v>
                </c:pt>
                <c:pt idx="10">
                  <c:v>315667.337517842</c:v>
                </c:pt>
                <c:pt idx="11">
                  <c:v>366191.333065179</c:v>
                </c:pt>
                <c:pt idx="12">
                  <c:v>425050.856420159</c:v>
                </c:pt>
                <c:pt idx="13">
                  <c:v>493894.951899173</c:v>
                </c:pt>
                <c:pt idx="14">
                  <c:v>574747.777488824</c:v>
                </c:pt>
                <c:pt idx="15">
                  <c:v>670104.86496915</c:v>
                </c:pt>
                <c:pt idx="16">
                  <c:v>783056.880678238</c:v>
                </c:pt>
                <c:pt idx="17">
                  <c:v>917449.542874373</c:v>
                </c:pt>
                <c:pt idx="18">
                  <c:v>1078091.32843482</c:v>
                </c:pt>
                <c:pt idx="19">
                  <c:v>1271024.68940746</c:v>
                </c:pt>
                <c:pt idx="20">
                  <c:v>1503882.14619923</c:v>
                </c:pt>
                <c:pt idx="21">
                  <c:v>1786356.47005839</c:v>
                </c:pt>
                <c:pt idx="22">
                  <c:v>2130825.13734703</c:v>
                </c:pt>
                <c:pt idx="23">
                  <c:v>2553184.67338429</c:v>
                </c:pt>
                <c:pt idx="24">
                  <c:v>3073972.36428013</c:v>
                </c:pt>
                <c:pt idx="25">
                  <c:v>3719883.98441768</c:v>
                </c:pt>
              </c:numCache>
            </c:numRef>
          </c:val>
          <c:smooth val="1"/>
        </c:ser>
        <c:ser>
          <c:idx val="1"/>
          <c:order val="1"/>
          <c:tx>
            <c:strRef>
              <c:f>'DRIP Projection'!F10</c:f>
              <c:strCache>
                <c:ptCount val="1"/>
                <c:pt idx="0">
                  <c:v>Total Invested</c:v>
                </c:pt>
              </c:strCache>
            </c:strRef>
          </c:tx>
          <c:spPr>
            <a:solidFill>
              <a:srgbClr val="94a3b8"/>
            </a:solidFill>
            <a:ln w="15120">
              <a:solidFill>
                <a:srgbClr val="94a3b8"/>
              </a:solidFill>
              <a:prstDash val="dash"/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'DRIP Projection'!$B$11:$B$36</c:f>
              <c:strCache>
                <c:ptCount val="2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</c:strCache>
            </c:strRef>
          </c:cat>
          <c:val>
            <c:numRef>
              <c:f>'DRIP Projection'!$F$11:$F$36</c:f>
              <c:numCache>
                <c:formatCode>\$#,##0</c:formatCode>
                <c:ptCount val="26"/>
                <c:pt idx="0">
                  <c:v>61816</c:v>
                </c:pt>
                <c:pt idx="1">
                  <c:v>67816</c:v>
                </c:pt>
                <c:pt idx="2">
                  <c:v>73816</c:v>
                </c:pt>
                <c:pt idx="3">
                  <c:v>79816</c:v>
                </c:pt>
                <c:pt idx="4">
                  <c:v>85816</c:v>
                </c:pt>
                <c:pt idx="5">
                  <c:v>91816</c:v>
                </c:pt>
                <c:pt idx="6">
                  <c:v>97816</c:v>
                </c:pt>
                <c:pt idx="7">
                  <c:v>103816</c:v>
                </c:pt>
                <c:pt idx="8">
                  <c:v>109816</c:v>
                </c:pt>
                <c:pt idx="9">
                  <c:v>115816</c:v>
                </c:pt>
                <c:pt idx="10">
                  <c:v>121816</c:v>
                </c:pt>
                <c:pt idx="11">
                  <c:v>127816</c:v>
                </c:pt>
                <c:pt idx="12">
                  <c:v>133816</c:v>
                </c:pt>
                <c:pt idx="13">
                  <c:v>139816</c:v>
                </c:pt>
                <c:pt idx="14">
                  <c:v>145816</c:v>
                </c:pt>
                <c:pt idx="15">
                  <c:v>151816</c:v>
                </c:pt>
                <c:pt idx="16">
                  <c:v>157816</c:v>
                </c:pt>
                <c:pt idx="17">
                  <c:v>163816</c:v>
                </c:pt>
                <c:pt idx="18">
                  <c:v>169816</c:v>
                </c:pt>
                <c:pt idx="19">
                  <c:v>175816</c:v>
                </c:pt>
                <c:pt idx="20">
                  <c:v>181816</c:v>
                </c:pt>
                <c:pt idx="21">
                  <c:v>187816</c:v>
                </c:pt>
                <c:pt idx="22">
                  <c:v>193816</c:v>
                </c:pt>
                <c:pt idx="23">
                  <c:v>199816</c:v>
                </c:pt>
                <c:pt idx="24">
                  <c:v>205816</c:v>
                </c:pt>
                <c:pt idx="25">
                  <c:v>211816</c:v>
                </c:pt>
              </c:numCache>
            </c:numRef>
          </c:val>
          <c:smooth val="1"/>
        </c:ser>
        <c:hiLowLines>
          <c:spPr>
            <a:ln w="0">
              <a:noFill/>
            </a:ln>
          </c:spPr>
        </c:hiLowLines>
        <c:marker val="0"/>
        <c:axId val="93486973"/>
        <c:axId val="87504644"/>
      </c:lineChart>
      <c:catAx>
        <c:axId val="9348697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87504644"/>
        <c:crosses val="autoZero"/>
        <c:auto val="1"/>
        <c:lblAlgn val="ctr"/>
        <c:lblOffset val="100"/>
        <c:noMultiLvlLbl val="0"/>
      </c:catAx>
      <c:valAx>
        <c:axId val="87504644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1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sz="1000" spc="-1" strike="noStrike">
                    <a:solidFill>
                      <a:srgbClr val="000000"/>
                    </a:solidFill>
                    <a:latin typeface="Calibri"/>
                  </a:rPr>
                  <a:t>$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\$#,##0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93486973"/>
        <c:crosses val="autoZero"/>
        <c:crossBetween val="between"/>
      </c:valAx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b="0" sz="1000" spc="-1" strike="noStrike">
              <a:solidFill>
                <a:srgbClr val="000000"/>
              </a:solidFill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sz="1800" spc="-1" strike="noStrike">
                <a:solidFill>
                  <a:srgbClr val="000000"/>
                </a:solidFill>
                <a:latin typeface="Calibri"/>
              </a:rPr>
              <a:t>Portfolio by Sector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pieChart>
        <c:varyColors val="1"/>
        <c:ser>
          <c:idx val="0"/>
          <c:order val="0"/>
          <c:tx>
            <c:strRef>
              <c:f>Allocation!C3</c:f>
              <c:strCache>
                <c:ptCount val="1"/>
                <c:pt idx="0">
                  <c:v>Market Value</c:v>
                </c:pt>
              </c:strCache>
            </c:strRef>
          </c:tx>
          <c:spPr>
            <a:solidFill>
              <a:srgbClr val="4f81bd"/>
            </a:solidFill>
            <a:ln w="9360">
              <a:solidFill>
                <a:srgbClr val="f9f9f9"/>
              </a:solidFill>
              <a:round/>
            </a:ln>
          </c:spPr>
          <c:explosion val="0"/>
          <c:dPt>
            <c:idx val="0"/>
            <c:spPr>
              <a:solidFill>
                <a:srgbClr val="0ea5e9"/>
              </a:solidFill>
              <a:ln w="9360">
                <a:solidFill>
                  <a:srgbClr val="f9f9f9"/>
                </a:solidFill>
                <a:round/>
              </a:ln>
            </c:spPr>
          </c:dPt>
          <c:dPt>
            <c:idx val="1"/>
            <c:spPr>
              <a:solidFill>
                <a:srgbClr val="22c55e"/>
              </a:solidFill>
              <a:ln w="9360">
                <a:solidFill>
                  <a:srgbClr val="f9f9f9"/>
                </a:solidFill>
                <a:round/>
              </a:ln>
            </c:spPr>
          </c:dPt>
          <c:dPt>
            <c:idx val="2"/>
            <c:spPr>
              <a:solidFill>
                <a:srgbClr val="f59e0b"/>
              </a:solidFill>
              <a:ln w="9360">
                <a:solidFill>
                  <a:srgbClr val="f9f9f9"/>
                </a:solidFill>
                <a:round/>
              </a:ln>
            </c:spPr>
          </c:dPt>
          <c:dPt>
            <c:idx val="3"/>
            <c:spPr>
              <a:solidFill>
                <a:srgbClr val="ef4444"/>
              </a:solidFill>
              <a:ln w="9360">
                <a:solidFill>
                  <a:srgbClr val="f9f9f9"/>
                </a:solidFill>
                <a:round/>
              </a:ln>
            </c:spPr>
          </c:dPt>
          <c:dPt>
            <c:idx val="4"/>
            <c:spPr>
              <a:solidFill>
                <a:srgbClr val="8b5cf6"/>
              </a:solidFill>
              <a:ln w="9360">
                <a:solidFill>
                  <a:srgbClr val="f9f9f9"/>
                </a:solidFill>
                <a:round/>
              </a:ln>
            </c:spPr>
          </c:dPt>
          <c:dPt>
            <c:idx val="5"/>
            <c:spPr>
              <a:solidFill>
                <a:srgbClr val="ec4899"/>
              </a:solidFill>
              <a:ln w="9360">
                <a:solidFill>
                  <a:srgbClr val="f9f9f9"/>
                </a:solidFill>
                <a:round/>
              </a:ln>
            </c:spPr>
          </c:dPt>
          <c:dPt>
            <c:idx val="6"/>
            <c:spPr>
              <a:solidFill>
                <a:srgbClr val="6366f1"/>
              </a:solidFill>
              <a:ln w="9360">
                <a:solidFill>
                  <a:srgbClr val="f9f9f9"/>
                </a:solidFill>
                <a:round/>
              </a:ln>
            </c:spPr>
          </c:dPt>
          <c:dPt>
            <c:idx val="7"/>
            <c:spPr>
              <a:solidFill>
                <a:srgbClr val="14b8a6"/>
              </a:solidFill>
              <a:ln w="9360">
                <a:solidFill>
                  <a:srgbClr val="f9f9f9"/>
                </a:solidFill>
                <a:round/>
              </a:ln>
            </c:spPr>
          </c:dPt>
          <c:dLbls>
            <c:dLbl>
              <c:idx val="0"/>
              <c:txPr>
                <a:bodyPr wrap="square"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dLblPos val="bestFit"/>
              <c:showLegendKey val="1"/>
              <c:showVal val="1"/>
              <c:showCatName val="1"/>
              <c:showSerName val="1"/>
              <c:showPercent val="1"/>
              <c:separator>; </c:separator>
            </c:dLbl>
            <c:dLbl>
              <c:idx val="1"/>
              <c:txPr>
                <a:bodyPr wrap="square"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dLblPos val="bestFit"/>
              <c:showLegendKey val="1"/>
              <c:showVal val="1"/>
              <c:showCatName val="1"/>
              <c:showSerName val="1"/>
              <c:showPercent val="1"/>
              <c:separator>; </c:separator>
            </c:dLbl>
            <c:dLbl>
              <c:idx val="2"/>
              <c:txPr>
                <a:bodyPr wrap="square"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dLblPos val="bestFit"/>
              <c:showLegendKey val="1"/>
              <c:showVal val="1"/>
              <c:showCatName val="1"/>
              <c:showSerName val="1"/>
              <c:showPercent val="1"/>
              <c:separator>; </c:separator>
            </c:dLbl>
            <c:dLbl>
              <c:idx val="3"/>
              <c:txPr>
                <a:bodyPr wrap="square"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dLblPos val="bestFit"/>
              <c:showLegendKey val="1"/>
              <c:showVal val="1"/>
              <c:showCatName val="1"/>
              <c:showSerName val="1"/>
              <c:showPercent val="1"/>
              <c:separator>; </c:separator>
            </c:dLbl>
            <c:dLbl>
              <c:idx val="4"/>
              <c:txPr>
                <a:bodyPr wrap="square"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dLblPos val="bestFit"/>
              <c:showLegendKey val="1"/>
              <c:showVal val="1"/>
              <c:showCatName val="1"/>
              <c:showSerName val="1"/>
              <c:showPercent val="1"/>
              <c:separator>; </c:separator>
            </c:dLbl>
            <c:dLbl>
              <c:idx val="5"/>
              <c:txPr>
                <a:bodyPr wrap="square"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dLblPos val="bestFit"/>
              <c:showLegendKey val="1"/>
              <c:showVal val="1"/>
              <c:showCatName val="1"/>
              <c:showSerName val="1"/>
              <c:showPercent val="1"/>
              <c:separator>; </c:separator>
            </c:dLbl>
            <c:dLbl>
              <c:idx val="6"/>
              <c:txPr>
                <a:bodyPr wrap="square"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dLblPos val="bestFit"/>
              <c:showLegendKey val="1"/>
              <c:showVal val="1"/>
              <c:showCatName val="1"/>
              <c:showSerName val="1"/>
              <c:showPercent val="1"/>
              <c:separator>; </c:separator>
            </c:dLbl>
            <c:dLbl>
              <c:idx val="7"/>
              <c:txPr>
                <a:bodyPr wrap="square"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dLblPos val="bestFit"/>
              <c:showLegendKey val="1"/>
              <c:showVal val="1"/>
              <c:showCatName val="1"/>
              <c:showSerName val="1"/>
              <c:showPercent val="1"/>
              <c:separator>; </c:separator>
            </c:dLbl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bestFit"/>
            <c:showLegendKey val="1"/>
            <c:showVal val="1"/>
            <c:showCatName val="1"/>
            <c:showSerName val="1"/>
            <c:showPercent val="1"/>
            <c:separator>; </c:separator>
            <c:showLeaderLines val="1"/>
          </c:dLbls>
          <c:cat>
            <c:strRef>
              <c:f>Allocation!$B$4:$B$11</c:f>
              <c:strCache>
                <c:ptCount val="8"/>
                <c:pt idx="0">
                  <c:v>ETF</c:v>
                </c:pt>
                <c:pt idx="1">
                  <c:v>REIT</c:v>
                </c:pt>
                <c:pt idx="2">
                  <c:v>Healthcare</c:v>
                </c:pt>
                <c:pt idx="3">
                  <c:v>Consumer</c:v>
                </c:pt>
                <c:pt idx="4">
                  <c:v>Tech</c:v>
                </c:pt>
                <c:pt idx="5">
                  <c:v>Financials</c:v>
                </c:pt>
                <c:pt idx="6">
                  <c:v>Energy</c:v>
                </c:pt>
                <c:pt idx="7">
                  <c:v>Utilities</c:v>
                </c:pt>
              </c:strCache>
            </c:strRef>
          </c:cat>
          <c:val>
            <c:numRef>
              <c:f>Allocation!$C$4:$C$11</c:f>
              <c:numCache>
                <c:formatCode>\$#,##0</c:formatCode>
                <c:ptCount val="8"/>
                <c:pt idx="0">
                  <c:v>26661</c:v>
                </c:pt>
                <c:pt idx="1">
                  <c:v>4185</c:v>
                </c:pt>
                <c:pt idx="2">
                  <c:v>10930</c:v>
                </c:pt>
                <c:pt idx="3">
                  <c:v>16140</c:v>
                </c:pt>
                <c:pt idx="4">
                  <c:v>3900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firstSliceAng val="0"/>
      </c:pieChart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b="0" sz="1000" spc="-1" strike="noStrike">
              <a:solidFill>
                <a:srgbClr val="000000"/>
              </a:solidFill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sz="1800" spc="-1" strike="noStrike">
                <a:solidFill>
                  <a:srgbClr val="000000"/>
                </a:solidFill>
                <a:latin typeface="Calibri"/>
              </a:rPr>
              <a:t>Tax Breakdown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pieChart>
        <c:varyColors val="1"/>
        <c:ser>
          <c:idx val="0"/>
          <c:order val="0"/>
          <c:spPr>
            <a:solidFill>
              <a:srgbClr val="4f81bd"/>
            </a:solidFill>
            <a:ln w="9360">
              <a:solidFill>
                <a:srgbClr val="f9f9f9"/>
              </a:solidFill>
              <a:round/>
            </a:ln>
          </c:spPr>
          <c:explosion val="0"/>
          <c:dPt>
            <c:idx val="0"/>
            <c:spPr>
              <a:solidFill>
                <a:srgbClr val="22c55e"/>
              </a:solidFill>
              <a:ln w="9360">
                <a:solidFill>
                  <a:srgbClr val="f9f9f9"/>
                </a:solidFill>
                <a:round/>
              </a:ln>
            </c:spPr>
          </c:dPt>
          <c:dPt>
            <c:idx val="1"/>
            <c:spPr>
              <a:solidFill>
                <a:srgbClr val="ef4444"/>
              </a:solidFill>
              <a:ln w="9360">
                <a:solidFill>
                  <a:srgbClr val="f9f9f9"/>
                </a:solidFill>
                <a:round/>
              </a:ln>
            </c:spPr>
          </c:dPt>
          <c:dPt>
            <c:idx val="2"/>
            <c:spPr>
              <a:solidFill>
                <a:srgbClr val="f59e0b"/>
              </a:solidFill>
              <a:ln w="9360">
                <a:solidFill>
                  <a:srgbClr val="f9f9f9"/>
                </a:solidFill>
                <a:round/>
              </a:ln>
            </c:spPr>
          </c:dPt>
          <c:dLbls>
            <c:dLbl>
              <c:idx val="0"/>
              <c:txPr>
                <a:bodyPr wrap="square"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dLblPos val="bestFit"/>
              <c:showLegendKey val="1"/>
              <c:showVal val="1"/>
              <c:showCatName val="1"/>
              <c:showSerName val="1"/>
              <c:showPercent val="1"/>
              <c:separator>; </c:separator>
            </c:dLbl>
            <c:dLbl>
              <c:idx val="1"/>
              <c:txPr>
                <a:bodyPr wrap="square"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dLblPos val="bestFit"/>
              <c:showLegendKey val="1"/>
              <c:showVal val="1"/>
              <c:showCatName val="1"/>
              <c:showSerName val="1"/>
              <c:showPercent val="1"/>
              <c:separator>; </c:separator>
            </c:dLbl>
            <c:dLbl>
              <c:idx val="2"/>
              <c:txPr>
                <a:bodyPr wrap="square"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dLblPos val="bestFit"/>
              <c:showLegendKey val="1"/>
              <c:showVal val="1"/>
              <c:showCatName val="1"/>
              <c:showSerName val="1"/>
              <c:showPercent val="1"/>
              <c:separator>; </c:separator>
            </c:dLbl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bestFit"/>
            <c:showLegendKey val="1"/>
            <c:showVal val="1"/>
            <c:showCatName val="1"/>
            <c:showSerName val="1"/>
            <c:showPercent val="1"/>
            <c:separator>; </c:separator>
            <c:showLeaderLines val="1"/>
          </c:dLbls>
          <c:cat>
            <c:strRef>
              <c:f>'Tax Estimator'!$B$25:$B$27</c:f>
              <c:strCache>
                <c:ptCount val="3"/>
                <c:pt idx="0">
                  <c:v>After-Tax Income</c:v>
                </c:pt>
                <c:pt idx="1">
                  <c:v>Federal Tax</c:v>
                </c:pt>
                <c:pt idx="2">
                  <c:v>State Tax</c:v>
                </c:pt>
              </c:strCache>
            </c:strRef>
          </c:cat>
          <c:val>
            <c:numRef>
              <c:f>'Tax Estimator'!$C$25:$C$27</c:f>
              <c:numCache>
                <c:formatCode>\$#,##0</c:formatCode>
                <c:ptCount val="3"/>
                <c:pt idx="0">
                  <c:v>5460</c:v>
                </c:pt>
                <c:pt idx="1">
                  <c:v>1190</c:v>
                </c:pt>
                <c:pt idx="2">
                  <c:v>350</c:v>
                </c:pt>
              </c:numCache>
            </c:numRef>
          </c:val>
        </c:ser>
        <c:firstSliceAng val="0"/>
      </c:pieChart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b="0" sz="1000" spc="-1" strike="noStrike">
              <a:solidFill>
                <a:srgbClr val="000000"/>
              </a:solidFill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2.xml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chart" Target="../charts/chart3.xml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chart" Target="../charts/chart4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0</xdr:colOff>
      <xdr:row>16</xdr:row>
      <xdr:rowOff>291600</xdr:rowOff>
    </xdr:from>
    <xdr:to>
      <xdr:col>13</xdr:col>
      <xdr:colOff>564120</xdr:colOff>
      <xdr:row>39</xdr:row>
      <xdr:rowOff>79920</xdr:rowOff>
    </xdr:to>
    <xdr:graphicFrame>
      <xdr:nvGraphicFramePr>
        <xdr:cNvPr id="0" name="Chart 1"/>
        <xdr:cNvGraphicFramePr/>
      </xdr:nvGraphicFramePr>
      <xdr:xfrm>
        <a:off x="211320" y="3429000"/>
        <a:ext cx="10079640" cy="431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0</xdr:colOff>
      <xdr:row>36</xdr:row>
      <xdr:rowOff>41040</xdr:rowOff>
    </xdr:from>
    <xdr:to>
      <xdr:col>11</xdr:col>
      <xdr:colOff>609840</xdr:colOff>
      <xdr:row>64</xdr:row>
      <xdr:rowOff>106920</xdr:rowOff>
    </xdr:to>
    <xdr:graphicFrame>
      <xdr:nvGraphicFramePr>
        <xdr:cNvPr id="1" name="Chart 1"/>
        <xdr:cNvGraphicFramePr/>
      </xdr:nvGraphicFramePr>
      <xdr:xfrm>
        <a:off x="211320" y="7048440"/>
        <a:ext cx="10079640" cy="539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0</xdr:colOff>
      <xdr:row>12</xdr:row>
      <xdr:rowOff>100800</xdr:rowOff>
    </xdr:from>
    <xdr:to>
      <xdr:col>8</xdr:col>
      <xdr:colOff>252000</xdr:colOff>
      <xdr:row>38</xdr:row>
      <xdr:rowOff>187560</xdr:rowOff>
    </xdr:to>
    <xdr:graphicFrame>
      <xdr:nvGraphicFramePr>
        <xdr:cNvPr id="2" name="Chart 1"/>
        <xdr:cNvGraphicFramePr/>
      </xdr:nvGraphicFramePr>
      <xdr:xfrm>
        <a:off x="211320" y="2476440"/>
        <a:ext cx="6479640" cy="503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0</xdr:colOff>
      <xdr:row>25</xdr:row>
      <xdr:rowOff>112680</xdr:rowOff>
    </xdr:from>
    <xdr:to>
      <xdr:col>6</xdr:col>
      <xdr:colOff>143640</xdr:colOff>
      <xdr:row>48</xdr:row>
      <xdr:rowOff>50760</xdr:rowOff>
    </xdr:to>
    <xdr:graphicFrame>
      <xdr:nvGraphicFramePr>
        <xdr:cNvPr id="3" name="Chart 1"/>
        <xdr:cNvGraphicFramePr/>
      </xdr:nvGraphicFramePr>
      <xdr:xfrm>
        <a:off x="211320" y="5143680"/>
        <a:ext cx="5759640" cy="431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EA5E9"/>
    <pageSetUpPr fitToPage="false"/>
  </sheetPr>
  <dimension ref="A1:I44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8" min="2" style="0" width="18"/>
    <col collapsed="false" customWidth="true" hidden="false" outlineLevel="0" max="9" min="9" style="0" width="3"/>
  </cols>
  <sheetData>
    <row r="1" customFormat="false" ht="15" hidden="false" customHeight="false" outlineLevel="0" collapsed="false">
      <c r="A1" s="1"/>
      <c r="B1" s="1"/>
      <c r="C1" s="1"/>
      <c r="D1" s="1"/>
      <c r="E1" s="1"/>
      <c r="F1" s="1"/>
      <c r="G1" s="1"/>
      <c r="H1" s="1"/>
      <c r="I1" s="1"/>
    </row>
    <row r="2" customFormat="false" ht="22.05" hidden="false" customHeight="false" outlineLevel="0" collapsed="false">
      <c r="A2" s="1"/>
      <c r="B2" s="2" t="s">
        <v>0</v>
      </c>
      <c r="C2" s="2"/>
      <c r="D2" s="2"/>
      <c r="E2" s="2"/>
      <c r="F2" s="2"/>
      <c r="G2" s="2"/>
      <c r="H2" s="2"/>
      <c r="I2" s="1"/>
    </row>
    <row r="3" customFormat="false" ht="15" hidden="false" customHeight="false" outlineLevel="0" collapsed="false">
      <c r="A3" s="1"/>
      <c r="B3" s="3" t="s">
        <v>1</v>
      </c>
      <c r="C3" s="3"/>
      <c r="D3" s="3"/>
      <c r="E3" s="3"/>
      <c r="F3" s="3"/>
      <c r="G3" s="3"/>
      <c r="H3" s="3"/>
      <c r="I3" s="1"/>
    </row>
    <row r="4" customFormat="false" ht="15" hidden="false" customHeight="false" outlineLevel="0" collapsed="false">
      <c r="A4" s="1"/>
      <c r="B4" s="1"/>
      <c r="C4" s="1"/>
      <c r="D4" s="1"/>
      <c r="E4" s="1"/>
      <c r="F4" s="1"/>
      <c r="G4" s="1"/>
      <c r="H4" s="1"/>
      <c r="I4" s="1"/>
    </row>
    <row r="5" customFormat="false" ht="15" hidden="false" customHeight="false" outlineLevel="0" collapsed="false">
      <c r="A5" s="1"/>
      <c r="B5" s="4" t="s">
        <v>2</v>
      </c>
      <c r="C5" s="5"/>
      <c r="D5" s="4" t="s">
        <v>3</v>
      </c>
      <c r="E5" s="5"/>
      <c r="F5" s="4" t="s">
        <v>4</v>
      </c>
      <c r="G5" s="5"/>
      <c r="H5" s="4" t="s">
        <v>5</v>
      </c>
      <c r="I5" s="5"/>
    </row>
    <row r="6" customFormat="false" ht="33.85" hidden="false" customHeight="false" outlineLevel="0" collapsed="false">
      <c r="A6" s="1"/>
      <c r="B6" s="6" t="n">
        <f aca="false">SUM(Portfolio!G2:G31)</f>
        <v>58325</v>
      </c>
      <c r="C6" s="5"/>
      <c r="D6" s="6" t="n">
        <f aca="false">SUM(Portfolio!I2:I31)</f>
        <v>2482.7272</v>
      </c>
      <c r="E6" s="5"/>
      <c r="F6" s="7" t="n">
        <f aca="false">IF(B6&gt;0,D6/B6,0)</f>
        <v>0.0425671187312473</v>
      </c>
      <c r="G6" s="5"/>
      <c r="H6" s="7" t="n">
        <f aca="false">IF(SUM(Portfolio!G2:G31)&gt;0,SUM(Portfolio!I2:I31)/SUM(Portfolio!G2:G31),0)</f>
        <v>0.0425671187312473</v>
      </c>
      <c r="I6" s="5"/>
    </row>
    <row r="7" customFormat="false" ht="15" hidden="false" customHeight="false" outlineLevel="0" collapsed="false">
      <c r="A7" s="1"/>
      <c r="B7" s="5"/>
      <c r="C7" s="5"/>
      <c r="D7" s="5"/>
      <c r="E7" s="5"/>
      <c r="F7" s="5"/>
      <c r="G7" s="5"/>
      <c r="H7" s="5"/>
      <c r="I7" s="5"/>
    </row>
    <row r="8" customFormat="false" ht="15" hidden="false" customHeight="false" outlineLevel="0" collapsed="false">
      <c r="A8" s="1"/>
      <c r="B8" s="1"/>
      <c r="C8" s="1"/>
      <c r="D8" s="1"/>
      <c r="E8" s="1"/>
      <c r="F8" s="1"/>
      <c r="G8" s="1"/>
      <c r="H8" s="1"/>
      <c r="I8" s="1"/>
    </row>
    <row r="9" customFormat="false" ht="17.35" hidden="false" customHeight="false" outlineLevel="0" collapsed="false">
      <c r="A9" s="1"/>
      <c r="B9" s="8" t="s">
        <v>6</v>
      </c>
      <c r="C9" s="8"/>
      <c r="D9" s="8"/>
      <c r="E9" s="8"/>
      <c r="F9" s="8"/>
      <c r="G9" s="8"/>
      <c r="H9" s="8"/>
      <c r="I9" s="1"/>
    </row>
    <row r="10" customFormat="false" ht="15" hidden="false" customHeight="false" outlineLevel="0" collapsed="false">
      <c r="A10" s="1"/>
      <c r="B10" s="9" t="s">
        <v>7</v>
      </c>
      <c r="C10" s="9" t="s">
        <v>8</v>
      </c>
      <c r="D10" s="9" t="s">
        <v>9</v>
      </c>
      <c r="E10" s="9" t="s">
        <v>10</v>
      </c>
      <c r="F10" s="9" t="s">
        <v>11</v>
      </c>
      <c r="G10" s="9" t="s">
        <v>12</v>
      </c>
      <c r="H10" s="1"/>
      <c r="I10" s="1"/>
    </row>
    <row r="11" customFormat="false" ht="15" hidden="false" customHeight="false" outlineLevel="0" collapsed="false">
      <c r="A11" s="1"/>
      <c r="B11" s="10" t="n">
        <f aca="false">Calendar!B14</f>
        <v>0</v>
      </c>
      <c r="C11" s="10" t="n">
        <f aca="false">Calendar!C14</f>
        <v>0</v>
      </c>
      <c r="D11" s="10" t="n">
        <f aca="false">Calendar!D14</f>
        <v>0</v>
      </c>
      <c r="E11" s="10" t="n">
        <f aca="false">Calendar!E14</f>
        <v>0</v>
      </c>
      <c r="F11" s="10" t="n">
        <f aca="false">Calendar!F14</f>
        <v>0</v>
      </c>
      <c r="G11" s="10" t="n">
        <f aca="false">Calendar!G14</f>
        <v>0</v>
      </c>
      <c r="H11" s="1"/>
      <c r="I11" s="1"/>
    </row>
    <row r="12" customFormat="false" ht="15" hidden="false" customHeight="false" outlineLevel="0" collapsed="false">
      <c r="A12" s="1"/>
      <c r="B12" s="9" t="s">
        <v>13</v>
      </c>
      <c r="C12" s="9" t="s">
        <v>14</v>
      </c>
      <c r="D12" s="9" t="s">
        <v>15</v>
      </c>
      <c r="E12" s="9" t="s">
        <v>16</v>
      </c>
      <c r="F12" s="9" t="s">
        <v>17</v>
      </c>
      <c r="G12" s="9" t="s">
        <v>18</v>
      </c>
      <c r="H12" s="1"/>
      <c r="I12" s="1"/>
    </row>
    <row r="13" customFormat="false" ht="15" hidden="false" customHeight="false" outlineLevel="0" collapsed="false">
      <c r="A13" s="1"/>
      <c r="B13" s="10" t="n">
        <f aca="false">Calendar!H14</f>
        <v>0</v>
      </c>
      <c r="C13" s="10" t="n">
        <f aca="false">Calendar!I14</f>
        <v>0</v>
      </c>
      <c r="D13" s="10" t="n">
        <f aca="false">Calendar!J14</f>
        <v>0</v>
      </c>
      <c r="E13" s="10" t="n">
        <f aca="false">Calendar!K14</f>
        <v>0</v>
      </c>
      <c r="F13" s="10" t="n">
        <f aca="false">Calendar!L14</f>
        <v>0</v>
      </c>
      <c r="G13" s="10" t="n">
        <f aca="false">Calendar!M14</f>
        <v>0</v>
      </c>
      <c r="H13" s="1"/>
      <c r="I13" s="1"/>
    </row>
    <row r="14" customFormat="false" ht="15" hidden="false" customHeight="false" outlineLevel="0" collapsed="false">
      <c r="A14" s="1"/>
      <c r="B14" s="1"/>
      <c r="C14" s="1"/>
      <c r="D14" s="1"/>
      <c r="E14" s="1"/>
      <c r="F14" s="1"/>
      <c r="G14" s="1"/>
      <c r="H14" s="1"/>
      <c r="I14" s="1"/>
    </row>
    <row r="15" customFormat="false" ht="17.35" hidden="false" customHeight="false" outlineLevel="0" collapsed="false">
      <c r="A15" s="1"/>
      <c r="B15" s="8" t="s">
        <v>19</v>
      </c>
      <c r="C15" s="8"/>
      <c r="D15" s="8"/>
      <c r="E15" s="8"/>
      <c r="F15" s="8"/>
      <c r="G15" s="8"/>
      <c r="H15" s="8"/>
      <c r="I15" s="1"/>
    </row>
    <row r="16" customFormat="false" ht="15" hidden="false" customHeight="false" outlineLevel="0" collapsed="false">
      <c r="A16" s="1"/>
      <c r="B16" s="11" t="s">
        <v>20</v>
      </c>
      <c r="C16" s="11" t="s">
        <v>21</v>
      </c>
      <c r="D16" s="11" t="s">
        <v>22</v>
      </c>
      <c r="E16" s="11" t="s">
        <v>23</v>
      </c>
      <c r="F16" s="11" t="s">
        <v>24</v>
      </c>
      <c r="G16" s="11" t="s">
        <v>25</v>
      </c>
      <c r="H16" s="11" t="s">
        <v>26</v>
      </c>
      <c r="I16" s="1"/>
    </row>
    <row r="17" customFormat="false" ht="15" hidden="false" customHeight="false" outlineLevel="0" collapsed="false">
      <c r="A17" s="1"/>
      <c r="B17" s="12" t="str">
        <f aca="false">Portfolio!A2</f>
        <v>SCHD</v>
      </c>
      <c r="C17" s="13" t="str">
        <f aca="false">Portfolio!B2</f>
        <v>Schwab US Div Equity ETF</v>
      </c>
      <c r="D17" s="14" t="n">
        <f aca="false">Portfolio!D2</f>
        <v>150</v>
      </c>
      <c r="E17" s="15" t="n">
        <f aca="false">Portfolio!H2</f>
        <v>0.0382</v>
      </c>
      <c r="F17" s="16" t="n">
        <f aca="false">Portfolio!I2</f>
        <v>166.9722</v>
      </c>
      <c r="G17" s="17" t="n">
        <f aca="false">IF(SUM(Portfolio!I$2:I$31)&gt;0,Portfolio!I2/SUM(Portfolio!I$2:I$31),0)</f>
        <v>0.0672535427976139</v>
      </c>
      <c r="H17" s="15" t="n">
        <f aca="false">Portfolio!J2</f>
        <v>0.0390578245614035</v>
      </c>
      <c r="I17" s="1"/>
    </row>
    <row r="18" customFormat="false" ht="15" hidden="false" customHeight="false" outlineLevel="0" collapsed="false">
      <c r="A18" s="1"/>
      <c r="B18" s="18" t="str">
        <f aca="false">Portfolio!A3</f>
        <v>VYM</v>
      </c>
      <c r="C18" s="19" t="str">
        <f aca="false">Portfolio!B3</f>
        <v>Vanguard High Div Yield</v>
      </c>
      <c r="D18" s="20" t="n">
        <f aca="false">Portfolio!D3</f>
        <v>100</v>
      </c>
      <c r="E18" s="21" t="n">
        <f aca="false">Portfolio!H3</f>
        <v>0.0285</v>
      </c>
      <c r="F18" s="22" t="n">
        <f aca="false">Portfolio!I3</f>
        <v>320.625</v>
      </c>
      <c r="G18" s="23" t="n">
        <f aca="false">IF(SUM(Portfolio!I$2:I$31)&gt;0,Portfolio!I3/SUM(Portfolio!I$2:I$31),0)</f>
        <v>0.129142259367038</v>
      </c>
      <c r="H18" s="21" t="n">
        <f aca="false">Portfolio!J3</f>
        <v>0.0296875</v>
      </c>
      <c r="I18" s="1"/>
    </row>
    <row r="19" customFormat="false" ht="15" hidden="false" customHeight="false" outlineLevel="0" collapsed="false">
      <c r="A19" s="1"/>
      <c r="B19" s="12" t="str">
        <f aca="false">Portfolio!A4</f>
        <v>O</v>
      </c>
      <c r="C19" s="13" t="str">
        <f aca="false">Portfolio!B4</f>
        <v>Realty Income Corp</v>
      </c>
      <c r="D19" s="14" t="n">
        <f aca="false">Portfolio!D4</f>
        <v>75</v>
      </c>
      <c r="E19" s="15" t="n">
        <f aca="false">Portfolio!H4</f>
        <v>0.056</v>
      </c>
      <c r="F19" s="16" t="n">
        <f aca="false">Portfolio!I4</f>
        <v>234.36</v>
      </c>
      <c r="G19" s="17" t="n">
        <f aca="false">IF(SUM(Portfolio!I$2:I$31)&gt;0,Portfolio!I4/SUM(Portfolio!I$2:I$31),0)</f>
        <v>0.0943961946362854</v>
      </c>
      <c r="H19" s="15" t="n">
        <f aca="false">Portfolio!J4</f>
        <v>0.0600923076923077</v>
      </c>
      <c r="I19" s="1"/>
    </row>
    <row r="20" customFormat="false" ht="15" hidden="false" customHeight="false" outlineLevel="0" collapsed="false">
      <c r="A20" s="1"/>
      <c r="B20" s="18" t="str">
        <f aca="false">Portfolio!A5</f>
        <v>JNJ</v>
      </c>
      <c r="C20" s="19" t="str">
        <f aca="false">Portfolio!B5</f>
        <v>Johnson &amp; Johnson</v>
      </c>
      <c r="D20" s="20" t="n">
        <f aca="false">Portfolio!D5</f>
        <v>40</v>
      </c>
      <c r="E20" s="21" t="n">
        <f aca="false">Portfolio!H5</f>
        <v>0.032</v>
      </c>
      <c r="F20" s="22" t="n">
        <f aca="false">Portfolio!I5</f>
        <v>207.36</v>
      </c>
      <c r="G20" s="23" t="n">
        <f aca="false">IF(SUM(Portfolio!I$2:I$31)&gt;0,Portfolio!I5/SUM(Portfolio!I$2:I$31),0)</f>
        <v>0.083521057005377</v>
      </c>
      <c r="H20" s="21" t="n">
        <f aca="false">Portfolio!J5</f>
        <v>0.0334451612903226</v>
      </c>
      <c r="I20" s="1"/>
    </row>
    <row r="21" customFormat="false" ht="15" hidden="false" customHeight="false" outlineLevel="0" collapsed="false">
      <c r="A21" s="1"/>
      <c r="B21" s="12" t="str">
        <f aca="false">Portfolio!A6</f>
        <v>KO</v>
      </c>
      <c r="C21" s="13" t="str">
        <f aca="false">Portfolio!B6</f>
        <v>Coca-Cola Company</v>
      </c>
      <c r="D21" s="14" t="n">
        <f aca="false">Portfolio!D6</f>
        <v>80</v>
      </c>
      <c r="E21" s="15" t="n">
        <f aca="false">Portfolio!H6</f>
        <v>0.0305</v>
      </c>
      <c r="F21" s="16" t="n">
        <f aca="false">Portfolio!I6</f>
        <v>154.94</v>
      </c>
      <c r="G21" s="17" t="n">
        <f aca="false">IF(SUM(Portfolio!I$2:I$31)&gt;0,Portfolio!I6/SUM(Portfolio!I$2:I$31),0)</f>
        <v>0.0624071786864058</v>
      </c>
      <c r="H21" s="15" t="n">
        <f aca="false">Portfolio!J6</f>
        <v>0.0333922413793103</v>
      </c>
      <c r="I21" s="1"/>
    </row>
    <row r="22" customFormat="false" ht="15" hidden="false" customHeight="false" outlineLevel="0" collapsed="false">
      <c r="A22" s="1"/>
      <c r="B22" s="18" t="str">
        <f aca="false">Portfolio!A7</f>
        <v>PG</v>
      </c>
      <c r="C22" s="19" t="str">
        <f aca="false">Portfolio!B7</f>
        <v>Procter &amp; Gamble</v>
      </c>
      <c r="D22" s="20" t="n">
        <f aca="false">Portfolio!D7</f>
        <v>30</v>
      </c>
      <c r="E22" s="21" t="n">
        <f aca="false">Portfolio!H7</f>
        <v>0.0245</v>
      </c>
      <c r="F22" s="22" t="n">
        <f aca="false">Portfolio!I7</f>
        <v>123.48</v>
      </c>
      <c r="G22" s="23" t="n">
        <f aca="false">IF(SUM(Portfolio!I$2:I$31)&gt;0,Portfolio!I7/SUM(Portfolio!I$2:I$31),0)</f>
        <v>0.0497356294320214</v>
      </c>
      <c r="H22" s="21" t="n">
        <f aca="false">Portfolio!J7</f>
        <v>0.0270789473684211</v>
      </c>
      <c r="I22" s="1"/>
    </row>
    <row r="23" customFormat="false" ht="15" hidden="false" customHeight="false" outlineLevel="0" collapsed="false">
      <c r="A23" s="1"/>
      <c r="B23" s="12" t="str">
        <f aca="false">Portfolio!A8</f>
        <v>JEPI</v>
      </c>
      <c r="C23" s="13" t="str">
        <f aca="false">Portfolio!B8</f>
        <v>JPM Equity Premium Inc</v>
      </c>
      <c r="D23" s="14" t="n">
        <f aca="false">Portfolio!D8</f>
        <v>200</v>
      </c>
      <c r="E23" s="15" t="n">
        <f aca="false">Portfolio!H8</f>
        <v>0.075</v>
      </c>
      <c r="F23" s="16" t="n">
        <f aca="false">Portfolio!I8</f>
        <v>828</v>
      </c>
      <c r="G23" s="17" t="n">
        <f aca="false">IF(SUM(Portfolio!I$2:I$31)&gt;0,Portfolio!I8/SUM(Portfolio!I$2:I$31),0)</f>
        <v>0.333504220681193</v>
      </c>
      <c r="H23" s="15" t="n">
        <f aca="false">Portfolio!J8</f>
        <v>0.0766666666666667</v>
      </c>
      <c r="I23" s="1"/>
    </row>
    <row r="24" customFormat="false" ht="15" hidden="false" customHeight="false" outlineLevel="0" collapsed="false">
      <c r="A24" s="1"/>
      <c r="B24" s="18" t="str">
        <f aca="false">Portfolio!A9</f>
        <v>ABBV</v>
      </c>
      <c r="C24" s="19" t="str">
        <f aca="false">Portfolio!B9</f>
        <v>AbbVie Inc</v>
      </c>
      <c r="D24" s="20" t="n">
        <f aca="false">Portfolio!D9</f>
        <v>25</v>
      </c>
      <c r="E24" s="21" t="n">
        <f aca="false">Portfolio!H9</f>
        <v>0.036</v>
      </c>
      <c r="F24" s="22" t="n">
        <f aca="false">Portfolio!I9</f>
        <v>160.2</v>
      </c>
      <c r="G24" s="23" t="n">
        <f aca="false">IF(SUM(Portfolio!I$2:I$31)&gt;0,Portfolio!I9/SUM(Portfolio!I$2:I$31),0)</f>
        <v>0.0645258166100569</v>
      </c>
      <c r="H24" s="21" t="n">
        <f aca="false">Portfolio!J9</f>
        <v>0.041341935483871</v>
      </c>
      <c r="I24" s="1"/>
    </row>
    <row r="25" customFormat="false" ht="15" hidden="false" customHeight="false" outlineLevel="0" collapsed="false">
      <c r="A25" s="1"/>
      <c r="B25" s="1"/>
      <c r="C25" s="1"/>
      <c r="D25" s="1"/>
      <c r="E25" s="1"/>
      <c r="F25" s="1"/>
      <c r="G25" s="1"/>
      <c r="H25" s="1"/>
      <c r="I25" s="1"/>
    </row>
    <row r="26" customFormat="false" ht="15" hidden="false" customHeight="false" outlineLevel="0" collapsed="false">
      <c r="A26" s="1"/>
      <c r="B26" s="1"/>
      <c r="C26" s="1"/>
      <c r="D26" s="1"/>
      <c r="E26" s="1"/>
      <c r="F26" s="1"/>
      <c r="G26" s="1"/>
      <c r="H26" s="1"/>
      <c r="I26" s="1"/>
    </row>
    <row r="27" customFormat="false" ht="17.35" hidden="false" customHeight="false" outlineLevel="0" collapsed="false">
      <c r="A27" s="1"/>
      <c r="B27" s="8" t="s">
        <v>27</v>
      </c>
      <c r="C27" s="8"/>
      <c r="D27" s="8"/>
      <c r="E27" s="8"/>
      <c r="F27" s="8"/>
      <c r="G27" s="8"/>
      <c r="H27" s="8"/>
      <c r="I27" s="1"/>
    </row>
    <row r="28" customFormat="false" ht="15" hidden="false" customHeight="false" outlineLevel="0" collapsed="false">
      <c r="A28" s="1"/>
      <c r="B28" s="4" t="s">
        <v>28</v>
      </c>
      <c r="C28" s="1"/>
      <c r="D28" s="4" t="s">
        <v>29</v>
      </c>
      <c r="E28" s="1"/>
      <c r="F28" s="4" t="s">
        <v>30</v>
      </c>
      <c r="G28" s="1"/>
      <c r="H28" s="4" t="s">
        <v>31</v>
      </c>
      <c r="I28" s="1"/>
    </row>
    <row r="29" customFormat="false" ht="19.7" hidden="false" customHeight="false" outlineLevel="0" collapsed="false">
      <c r="A29" s="1"/>
      <c r="B29" s="24" t="n">
        <f aca="false">COUNTA(Portfolio!A2:A31)</f>
        <v>10</v>
      </c>
      <c r="C29" s="1"/>
      <c r="D29" s="25" t="n">
        <f aca="false">D6/12</f>
        <v>206.893933333333</v>
      </c>
      <c r="E29" s="1"/>
      <c r="F29" s="25" t="n">
        <f aca="false">D6*(1.05^10)</f>
        <v>4044.1009958342</v>
      </c>
      <c r="G29" s="1"/>
      <c r="H29" s="26" t="str">
        <f aca="false">ROUND(72/(IF(D6&gt;0,D6/B6*100,4)),1)&amp;" years"</f>
        <v>16.9 years</v>
      </c>
      <c r="I29" s="1"/>
    </row>
    <row r="30" customFormat="false" ht="15" hidden="false" customHeight="false" outlineLevel="0" collapsed="false">
      <c r="A30" s="1"/>
      <c r="B30" s="1"/>
      <c r="C30" s="1"/>
      <c r="D30" s="1"/>
      <c r="E30" s="1"/>
      <c r="F30" s="1"/>
      <c r="G30" s="1"/>
      <c r="H30" s="1"/>
      <c r="I30" s="1"/>
    </row>
    <row r="31" customFormat="false" ht="15" hidden="false" customHeight="false" outlineLevel="0" collapsed="false">
      <c r="A31" s="1"/>
      <c r="B31" s="1"/>
      <c r="C31" s="1"/>
      <c r="D31" s="1"/>
      <c r="E31" s="1"/>
      <c r="F31" s="1"/>
      <c r="G31" s="1"/>
      <c r="H31" s="1"/>
      <c r="I31" s="1"/>
    </row>
    <row r="32" customFormat="false" ht="15" hidden="false" customHeight="false" outlineLevel="0" collapsed="false">
      <c r="A32" s="1"/>
      <c r="B32" s="1"/>
      <c r="C32" s="1"/>
      <c r="D32" s="1"/>
      <c r="E32" s="1"/>
      <c r="F32" s="1"/>
      <c r="G32" s="1"/>
      <c r="H32" s="1"/>
      <c r="I32" s="1"/>
    </row>
    <row r="33" customFormat="false" ht="15" hidden="false" customHeight="false" outlineLevel="0" collapsed="false">
      <c r="A33" s="1"/>
      <c r="B33" s="1"/>
      <c r="C33" s="1"/>
      <c r="D33" s="1"/>
      <c r="E33" s="1"/>
      <c r="F33" s="1"/>
      <c r="G33" s="1"/>
      <c r="H33" s="1"/>
      <c r="I33" s="1"/>
    </row>
    <row r="34" customFormat="false" ht="15" hidden="false" customHeight="false" outlineLevel="0" collapsed="false">
      <c r="A34" s="1"/>
      <c r="B34" s="1"/>
      <c r="C34" s="1"/>
      <c r="D34" s="1"/>
      <c r="E34" s="1"/>
      <c r="F34" s="1"/>
      <c r="G34" s="1"/>
      <c r="H34" s="1"/>
      <c r="I34" s="1"/>
    </row>
    <row r="35" customFormat="false" ht="15" hidden="false" customHeight="false" outlineLevel="0" collapsed="false">
      <c r="A35" s="1"/>
      <c r="B35" s="1"/>
      <c r="C35" s="1"/>
      <c r="D35" s="1"/>
      <c r="E35" s="1"/>
      <c r="F35" s="1"/>
      <c r="G35" s="1"/>
      <c r="H35" s="1"/>
      <c r="I35" s="1"/>
    </row>
    <row r="36" customFormat="false" ht="15" hidden="false" customHeight="false" outlineLevel="0" collapsed="false">
      <c r="A36" s="1"/>
      <c r="B36" s="1"/>
      <c r="C36" s="1"/>
      <c r="D36" s="1"/>
      <c r="E36" s="1"/>
      <c r="F36" s="1"/>
      <c r="G36" s="1"/>
      <c r="H36" s="1"/>
      <c r="I36" s="1"/>
    </row>
    <row r="37" customFormat="false" ht="15" hidden="false" customHeight="false" outlineLevel="0" collapsed="false">
      <c r="A37" s="1"/>
      <c r="B37" s="1"/>
      <c r="C37" s="1"/>
      <c r="D37" s="1"/>
      <c r="E37" s="1"/>
      <c r="F37" s="1"/>
      <c r="G37" s="1"/>
      <c r="H37" s="1"/>
      <c r="I37" s="1"/>
    </row>
    <row r="38" customFormat="false" ht="15" hidden="false" customHeight="false" outlineLevel="0" collapsed="false">
      <c r="A38" s="1"/>
      <c r="B38" s="1"/>
      <c r="C38" s="1"/>
      <c r="D38" s="1"/>
      <c r="E38" s="1"/>
      <c r="F38" s="1"/>
      <c r="G38" s="1"/>
      <c r="H38" s="1"/>
      <c r="I38" s="1"/>
    </row>
    <row r="39" customFormat="false" ht="15" hidden="false" customHeight="false" outlineLevel="0" collapsed="false">
      <c r="A39" s="1"/>
      <c r="B39" s="1"/>
      <c r="C39" s="1"/>
      <c r="D39" s="1"/>
      <c r="E39" s="1"/>
      <c r="F39" s="1"/>
      <c r="G39" s="1"/>
      <c r="H39" s="1"/>
      <c r="I39" s="1"/>
    </row>
    <row r="40" customFormat="false" ht="15" hidden="false" customHeight="false" outlineLevel="0" collapsed="false">
      <c r="A40" s="1"/>
      <c r="B40" s="1"/>
      <c r="C40" s="1"/>
      <c r="D40" s="1"/>
      <c r="E40" s="1"/>
      <c r="F40" s="1"/>
      <c r="G40" s="1"/>
      <c r="H40" s="1"/>
      <c r="I40" s="1"/>
    </row>
    <row r="41" customFormat="false" ht="15" hidden="false" customHeight="false" outlineLevel="0" collapsed="false">
      <c r="A41" s="1"/>
      <c r="B41" s="1"/>
      <c r="C41" s="1"/>
      <c r="D41" s="1"/>
      <c r="E41" s="1"/>
      <c r="F41" s="1"/>
      <c r="G41" s="1"/>
      <c r="H41" s="1"/>
      <c r="I41" s="1"/>
    </row>
    <row r="42" customFormat="false" ht="15" hidden="false" customHeight="false" outlineLevel="0" collapsed="false">
      <c r="A42" s="1"/>
      <c r="B42" s="1"/>
      <c r="C42" s="1"/>
      <c r="D42" s="1"/>
      <c r="E42" s="1"/>
      <c r="F42" s="1"/>
      <c r="G42" s="1"/>
      <c r="H42" s="1"/>
      <c r="I42" s="1"/>
    </row>
    <row r="43" customFormat="false" ht="15" hidden="false" customHeight="false" outlineLevel="0" collapsed="false">
      <c r="A43" s="1"/>
      <c r="B43" s="1"/>
      <c r="C43" s="1"/>
      <c r="D43" s="1"/>
      <c r="E43" s="1"/>
      <c r="F43" s="1"/>
      <c r="G43" s="1"/>
      <c r="H43" s="1"/>
      <c r="I43" s="1"/>
    </row>
    <row r="44" customFormat="false" ht="15" hidden="false" customHeight="false" outlineLevel="0" collapsed="false">
      <c r="A44" s="1"/>
      <c r="B44" s="1"/>
      <c r="C44" s="1"/>
      <c r="D44" s="1"/>
      <c r="E44" s="1"/>
      <c r="F44" s="1"/>
      <c r="G44" s="1"/>
      <c r="H44" s="1"/>
      <c r="I44" s="1"/>
    </row>
  </sheetData>
  <mergeCells count="5">
    <mergeCell ref="B2:H2"/>
    <mergeCell ref="B3:H3"/>
    <mergeCell ref="B9:H9"/>
    <mergeCell ref="B15:H15"/>
    <mergeCell ref="B27:H27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22C55E"/>
    <pageSetUpPr fitToPage="false"/>
  </sheetPr>
  <dimension ref="A1:N32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1" topLeftCell="A2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0"/>
    <col collapsed="false" customWidth="true" hidden="false" outlineLevel="0" max="2" min="2" style="0" width="22"/>
    <col collapsed="false" customWidth="true" hidden="false" outlineLevel="0" max="3" min="3" style="0" width="14"/>
    <col collapsed="false" customWidth="true" hidden="false" outlineLevel="0" max="4" min="4" style="0" width="10"/>
    <col collapsed="false" customWidth="true" hidden="false" outlineLevel="0" max="6" min="5" style="0" width="12"/>
    <col collapsed="false" customWidth="true" hidden="false" outlineLevel="0" max="7" min="7" style="0" width="14"/>
    <col collapsed="false" customWidth="true" hidden="false" outlineLevel="0" max="8" min="8" style="0" width="10"/>
    <col collapsed="false" customWidth="true" hidden="false" outlineLevel="0" max="9" min="9" style="0" width="14"/>
    <col collapsed="false" customWidth="true" hidden="false" outlineLevel="0" max="10" min="10" style="0" width="12"/>
    <col collapsed="false" customWidth="true" hidden="false" outlineLevel="0" max="12" min="11" style="0" width="14"/>
    <col collapsed="false" customWidth="true" hidden="false" outlineLevel="0" max="13" min="13" style="0" width="12"/>
    <col collapsed="false" customWidth="true" hidden="false" outlineLevel="0" max="14" min="14" style="0" width="10"/>
  </cols>
  <sheetData>
    <row r="1" customFormat="false" ht="15" hidden="false" customHeight="false" outlineLevel="0" collapsed="false">
      <c r="A1" s="11" t="s">
        <v>20</v>
      </c>
      <c r="B1" s="11" t="s">
        <v>21</v>
      </c>
      <c r="C1" s="11" t="s">
        <v>32</v>
      </c>
      <c r="D1" s="11" t="s">
        <v>22</v>
      </c>
      <c r="E1" s="11" t="s">
        <v>33</v>
      </c>
      <c r="F1" s="11" t="s">
        <v>34</v>
      </c>
      <c r="G1" s="11" t="s">
        <v>35</v>
      </c>
      <c r="H1" s="11" t="s">
        <v>23</v>
      </c>
      <c r="I1" s="11" t="s">
        <v>36</v>
      </c>
      <c r="J1" s="11" t="s">
        <v>37</v>
      </c>
      <c r="K1" s="11" t="s">
        <v>38</v>
      </c>
      <c r="L1" s="11" t="s">
        <v>39</v>
      </c>
      <c r="M1" s="11" t="s">
        <v>40</v>
      </c>
      <c r="N1" s="11" t="s">
        <v>41</v>
      </c>
    </row>
    <row r="2" customFormat="false" ht="15" hidden="false" customHeight="false" outlineLevel="0" collapsed="false">
      <c r="A2" s="12" t="s">
        <v>42</v>
      </c>
      <c r="B2" s="13" t="s">
        <v>43</v>
      </c>
      <c r="C2" s="13" t="s">
        <v>44</v>
      </c>
      <c r="D2" s="27" t="n">
        <v>150</v>
      </c>
      <c r="E2" s="28" t="n">
        <v>28.5</v>
      </c>
      <c r="F2" s="28" t="n">
        <v>29.14</v>
      </c>
      <c r="G2" s="16" t="n">
        <f aca="false">IF(D2&gt;0,D2*E2,0)</f>
        <v>4275</v>
      </c>
      <c r="H2" s="29" t="n">
        <v>0.0382</v>
      </c>
      <c r="I2" s="30" t="n">
        <f aca="false">IF(D2&gt;0,F2*H2*D2,0)</f>
        <v>166.9722</v>
      </c>
      <c r="J2" s="15" t="n">
        <f aca="false">IF(E2&gt;0,(F2*H2)/E2,0)</f>
        <v>0.0390578245614035</v>
      </c>
      <c r="K2" s="16" t="n">
        <f aca="false">IF(D2&gt;0,D2*F2,0)</f>
        <v>4371</v>
      </c>
      <c r="L2" s="16" t="n">
        <f aca="false">IF(D2&gt;0,(F2-E2)*D2,0)</f>
        <v>96.0000000000001</v>
      </c>
      <c r="M2" s="17" t="n">
        <f aca="false">IF(E2&gt;0,(F2-E2)/E2,0)</f>
        <v>0.0224561403508772</v>
      </c>
      <c r="N2" s="17" t="n">
        <f aca="false">IF(SUM(K$2:K$31)&gt;0,K2/SUM(K$2:K$31),0)</f>
        <v>0.0707098485828912</v>
      </c>
    </row>
    <row r="3" customFormat="false" ht="15" hidden="false" customHeight="false" outlineLevel="0" collapsed="false">
      <c r="A3" s="18" t="s">
        <v>45</v>
      </c>
      <c r="B3" s="19" t="s">
        <v>46</v>
      </c>
      <c r="C3" s="19" t="s">
        <v>44</v>
      </c>
      <c r="D3" s="31" t="n">
        <v>100</v>
      </c>
      <c r="E3" s="32" t="n">
        <v>108</v>
      </c>
      <c r="F3" s="32" t="n">
        <v>112.5</v>
      </c>
      <c r="G3" s="22" t="n">
        <f aca="false">IF(D3&gt;0,D3*E3,0)</f>
        <v>10800</v>
      </c>
      <c r="H3" s="33" t="n">
        <v>0.0285</v>
      </c>
      <c r="I3" s="34" t="n">
        <f aca="false">IF(D3&gt;0,F3*H3*D3,0)</f>
        <v>320.625</v>
      </c>
      <c r="J3" s="21" t="n">
        <f aca="false">IF(E3&gt;0,(F3*H3)/E3,0)</f>
        <v>0.0296875</v>
      </c>
      <c r="K3" s="22" t="n">
        <f aca="false">IF(D3&gt;0,D3*F3,0)</f>
        <v>11250</v>
      </c>
      <c r="L3" s="22" t="n">
        <f aca="false">IF(D3&gt;0,(F3-E3)*D3,0)</f>
        <v>450</v>
      </c>
      <c r="M3" s="23" t="n">
        <f aca="false">IF(E3&gt;0,(F3-E3)/E3,0)</f>
        <v>0.0416666666666667</v>
      </c>
      <c r="N3" s="23" t="n">
        <f aca="false">IF(SUM(K$2:K$31)&gt;0,K3/SUM(K$2:K$31),0)</f>
        <v>0.18199171735473</v>
      </c>
    </row>
    <row r="4" customFormat="false" ht="15" hidden="false" customHeight="false" outlineLevel="0" collapsed="false">
      <c r="A4" s="12" t="s">
        <v>47</v>
      </c>
      <c r="B4" s="13" t="s">
        <v>48</v>
      </c>
      <c r="C4" s="13" t="s">
        <v>49</v>
      </c>
      <c r="D4" s="27" t="n">
        <v>75</v>
      </c>
      <c r="E4" s="28" t="n">
        <v>52</v>
      </c>
      <c r="F4" s="28" t="n">
        <v>55.8</v>
      </c>
      <c r="G4" s="16" t="n">
        <f aca="false">IF(D4&gt;0,D4*E4,0)</f>
        <v>3900</v>
      </c>
      <c r="H4" s="29" t="n">
        <v>0.056</v>
      </c>
      <c r="I4" s="30" t="n">
        <f aca="false">IF(D4&gt;0,F4*H4*D4,0)</f>
        <v>234.36</v>
      </c>
      <c r="J4" s="15" t="n">
        <f aca="false">IF(E4&gt;0,(F4*H4)/E4,0)</f>
        <v>0.0600923076923077</v>
      </c>
      <c r="K4" s="16" t="n">
        <f aca="false">IF(D4&gt;0,D4*F4,0)</f>
        <v>4185</v>
      </c>
      <c r="L4" s="16" t="n">
        <f aca="false">IF(D4&gt;0,(F4-E4)*D4,0)</f>
        <v>285</v>
      </c>
      <c r="M4" s="17" t="n">
        <f aca="false">IF(E4&gt;0,(F4-E4)/E4,0)</f>
        <v>0.073076923076923</v>
      </c>
      <c r="N4" s="17" t="n">
        <f aca="false">IF(SUM(K$2:K$31)&gt;0,K4/SUM(K$2:K$31),0)</f>
        <v>0.0677009188559596</v>
      </c>
    </row>
    <row r="5" customFormat="false" ht="15" hidden="false" customHeight="false" outlineLevel="0" collapsed="false">
      <c r="A5" s="18" t="s">
        <v>50</v>
      </c>
      <c r="B5" s="19" t="s">
        <v>51</v>
      </c>
      <c r="C5" s="19" t="s">
        <v>52</v>
      </c>
      <c r="D5" s="31" t="n">
        <v>40</v>
      </c>
      <c r="E5" s="32" t="n">
        <v>155</v>
      </c>
      <c r="F5" s="32" t="n">
        <v>162</v>
      </c>
      <c r="G5" s="22" t="n">
        <f aca="false">IF(D5&gt;0,D5*E5,0)</f>
        <v>6200</v>
      </c>
      <c r="H5" s="33" t="n">
        <v>0.032</v>
      </c>
      <c r="I5" s="34" t="n">
        <f aca="false">IF(D5&gt;0,F5*H5*D5,0)</f>
        <v>207.36</v>
      </c>
      <c r="J5" s="21" t="n">
        <f aca="false">IF(E5&gt;0,(F5*H5)/E5,0)</f>
        <v>0.0334451612903226</v>
      </c>
      <c r="K5" s="22" t="n">
        <f aca="false">IF(D5&gt;0,D5*F5,0)</f>
        <v>6480</v>
      </c>
      <c r="L5" s="22" t="n">
        <f aca="false">IF(D5&gt;0,(F5-E5)*D5,0)</f>
        <v>280</v>
      </c>
      <c r="M5" s="23" t="n">
        <f aca="false">IF(E5&gt;0,(F5-E5)/E5,0)</f>
        <v>0.0451612903225806</v>
      </c>
      <c r="N5" s="23" t="n">
        <f aca="false">IF(SUM(K$2:K$31)&gt;0,K5/SUM(K$2:K$31),0)</f>
        <v>0.104827229196325</v>
      </c>
    </row>
    <row r="6" customFormat="false" ht="15" hidden="false" customHeight="false" outlineLevel="0" collapsed="false">
      <c r="A6" s="12" t="s">
        <v>53</v>
      </c>
      <c r="B6" s="13" t="s">
        <v>54</v>
      </c>
      <c r="C6" s="13" t="s">
        <v>55</v>
      </c>
      <c r="D6" s="27" t="n">
        <v>80</v>
      </c>
      <c r="E6" s="28" t="n">
        <v>58</v>
      </c>
      <c r="F6" s="28" t="n">
        <v>63.5</v>
      </c>
      <c r="G6" s="16" t="n">
        <f aca="false">IF(D6&gt;0,D6*E6,0)</f>
        <v>4640</v>
      </c>
      <c r="H6" s="29" t="n">
        <v>0.0305</v>
      </c>
      <c r="I6" s="30" t="n">
        <f aca="false">IF(D6&gt;0,F6*H6*D6,0)</f>
        <v>154.94</v>
      </c>
      <c r="J6" s="15" t="n">
        <f aca="false">IF(E6&gt;0,(F6*H6)/E6,0)</f>
        <v>0.0333922413793103</v>
      </c>
      <c r="K6" s="16" t="n">
        <f aca="false">IF(D6&gt;0,D6*F6,0)</f>
        <v>5080</v>
      </c>
      <c r="L6" s="16" t="n">
        <f aca="false">IF(D6&gt;0,(F6-E6)*D6,0)</f>
        <v>440</v>
      </c>
      <c r="M6" s="17" t="n">
        <f aca="false">IF(E6&gt;0,(F6-E6)/E6,0)</f>
        <v>0.0948275862068966</v>
      </c>
      <c r="N6" s="17" t="n">
        <f aca="false">IF(SUM(K$2:K$31)&gt;0,K6/SUM(K$2:K$31),0)</f>
        <v>0.0821793710366248</v>
      </c>
    </row>
    <row r="7" customFormat="false" ht="15" hidden="false" customHeight="false" outlineLevel="0" collapsed="false">
      <c r="A7" s="18" t="s">
        <v>56</v>
      </c>
      <c r="B7" s="19" t="s">
        <v>57</v>
      </c>
      <c r="C7" s="19" t="s">
        <v>55</v>
      </c>
      <c r="D7" s="31" t="n">
        <v>30</v>
      </c>
      <c r="E7" s="32" t="n">
        <v>152</v>
      </c>
      <c r="F7" s="32" t="n">
        <v>168</v>
      </c>
      <c r="G7" s="22" t="n">
        <f aca="false">IF(D7&gt;0,D7*E7,0)</f>
        <v>4560</v>
      </c>
      <c r="H7" s="33" t="n">
        <v>0.0245</v>
      </c>
      <c r="I7" s="34" t="n">
        <f aca="false">IF(D7&gt;0,F7*H7*D7,0)</f>
        <v>123.48</v>
      </c>
      <c r="J7" s="21" t="n">
        <f aca="false">IF(E7&gt;0,(F7*H7)/E7,0)</f>
        <v>0.0270789473684211</v>
      </c>
      <c r="K7" s="22" t="n">
        <f aca="false">IF(D7&gt;0,D7*F7,0)</f>
        <v>5040</v>
      </c>
      <c r="L7" s="22" t="n">
        <f aca="false">IF(D7&gt;0,(F7-E7)*D7,0)</f>
        <v>480</v>
      </c>
      <c r="M7" s="23" t="n">
        <f aca="false">IF(E7&gt;0,(F7-E7)/E7,0)</f>
        <v>0.105263157894737</v>
      </c>
      <c r="N7" s="23" t="n">
        <f aca="false">IF(SUM(K$2:K$31)&gt;0,K7/SUM(K$2:K$31),0)</f>
        <v>0.0815322893749191</v>
      </c>
    </row>
    <row r="8" customFormat="false" ht="15" hidden="false" customHeight="false" outlineLevel="0" collapsed="false">
      <c r="A8" s="12" t="s">
        <v>58</v>
      </c>
      <c r="B8" s="13" t="s">
        <v>59</v>
      </c>
      <c r="C8" s="13" t="s">
        <v>44</v>
      </c>
      <c r="D8" s="27" t="n">
        <v>200</v>
      </c>
      <c r="E8" s="28" t="n">
        <v>54</v>
      </c>
      <c r="F8" s="28" t="n">
        <v>55.2</v>
      </c>
      <c r="G8" s="16" t="n">
        <f aca="false">IF(D8&gt;0,D8*E8,0)</f>
        <v>10800</v>
      </c>
      <c r="H8" s="29" t="n">
        <v>0.075</v>
      </c>
      <c r="I8" s="30" t="n">
        <f aca="false">IF(D8&gt;0,F8*H8*D8,0)</f>
        <v>828</v>
      </c>
      <c r="J8" s="15" t="n">
        <f aca="false">IF(E8&gt;0,(F8*H8)/E8,0)</f>
        <v>0.0766666666666667</v>
      </c>
      <c r="K8" s="16" t="n">
        <f aca="false">IF(D8&gt;0,D8*F8,0)</f>
        <v>11040</v>
      </c>
      <c r="L8" s="16" t="n">
        <f aca="false">IF(D8&gt;0,(F8-E8)*D8,0)</f>
        <v>240.000000000001</v>
      </c>
      <c r="M8" s="17" t="n">
        <f aca="false">IF(E8&gt;0,(F8-E8)/E8,0)</f>
        <v>0.0222222222222223</v>
      </c>
      <c r="N8" s="17" t="n">
        <f aca="false">IF(SUM(K$2:K$31)&gt;0,K8/SUM(K$2:K$31),0)</f>
        <v>0.178594538630775</v>
      </c>
    </row>
    <row r="9" customFormat="false" ht="15" hidden="false" customHeight="false" outlineLevel="0" collapsed="false">
      <c r="A9" s="18" t="s">
        <v>60</v>
      </c>
      <c r="B9" s="19" t="s">
        <v>61</v>
      </c>
      <c r="C9" s="19" t="s">
        <v>52</v>
      </c>
      <c r="D9" s="31" t="n">
        <v>25</v>
      </c>
      <c r="E9" s="32" t="n">
        <v>155</v>
      </c>
      <c r="F9" s="32" t="n">
        <v>178</v>
      </c>
      <c r="G9" s="22" t="n">
        <f aca="false">IF(D9&gt;0,D9*E9,0)</f>
        <v>3875</v>
      </c>
      <c r="H9" s="33" t="n">
        <v>0.036</v>
      </c>
      <c r="I9" s="34" t="n">
        <f aca="false">IF(D9&gt;0,F9*H9*D9,0)</f>
        <v>160.2</v>
      </c>
      <c r="J9" s="21" t="n">
        <f aca="false">IF(E9&gt;0,(F9*H9)/E9,0)</f>
        <v>0.041341935483871</v>
      </c>
      <c r="K9" s="22" t="n">
        <f aca="false">IF(D9&gt;0,D9*F9,0)</f>
        <v>4450</v>
      </c>
      <c r="L9" s="22" t="n">
        <f aca="false">IF(D9&gt;0,(F9-E9)*D9,0)</f>
        <v>575</v>
      </c>
      <c r="M9" s="23" t="n">
        <f aca="false">IF(E9&gt;0,(F9-E9)/E9,0)</f>
        <v>0.148387096774194</v>
      </c>
      <c r="N9" s="23" t="n">
        <f aca="false">IF(SUM(K$2:K$31)&gt;0,K9/SUM(K$2:K$31),0)</f>
        <v>0.0719878348647599</v>
      </c>
    </row>
    <row r="10" customFormat="false" ht="15" hidden="false" customHeight="false" outlineLevel="0" collapsed="false">
      <c r="A10" s="12" t="s">
        <v>62</v>
      </c>
      <c r="B10" s="13" t="s">
        <v>63</v>
      </c>
      <c r="C10" s="13" t="s">
        <v>55</v>
      </c>
      <c r="D10" s="27" t="n">
        <v>35</v>
      </c>
      <c r="E10" s="28" t="n">
        <v>165</v>
      </c>
      <c r="F10" s="28" t="n">
        <v>172</v>
      </c>
      <c r="G10" s="16" t="n">
        <f aca="false">IF(D10&gt;0,D10*E10,0)</f>
        <v>5775</v>
      </c>
      <c r="H10" s="29" t="n">
        <v>0.0295</v>
      </c>
      <c r="I10" s="30" t="n">
        <f aca="false">IF(D10&gt;0,F10*H10*D10,0)</f>
        <v>177.59</v>
      </c>
      <c r="J10" s="15" t="n">
        <f aca="false">IF(E10&gt;0,(F10*H10)/E10,0)</f>
        <v>0.0307515151515152</v>
      </c>
      <c r="K10" s="16" t="n">
        <f aca="false">IF(D10&gt;0,D10*F10,0)</f>
        <v>6020</v>
      </c>
      <c r="L10" s="16" t="n">
        <f aca="false">IF(D10&gt;0,(F10-E10)*D10,0)</f>
        <v>245</v>
      </c>
      <c r="M10" s="17" t="n">
        <f aca="false">IF(E10&gt;0,(F10-E10)/E10,0)</f>
        <v>0.0424242424242424</v>
      </c>
      <c r="N10" s="17" t="n">
        <f aca="false">IF(SUM(K$2:K$31)&gt;0,K10/SUM(K$2:K$31),0)</f>
        <v>0.097385790086709</v>
      </c>
    </row>
    <row r="11" customFormat="false" ht="15" hidden="false" customHeight="false" outlineLevel="0" collapsed="false">
      <c r="A11" s="18" t="s">
        <v>64</v>
      </c>
      <c r="B11" s="19" t="s">
        <v>65</v>
      </c>
      <c r="C11" s="19" t="s">
        <v>66</v>
      </c>
      <c r="D11" s="31" t="n">
        <v>20</v>
      </c>
      <c r="E11" s="32" t="n">
        <v>175</v>
      </c>
      <c r="F11" s="32" t="n">
        <v>195</v>
      </c>
      <c r="G11" s="22" t="n">
        <f aca="false">IF(D11&gt;0,D11*E11,0)</f>
        <v>3500</v>
      </c>
      <c r="H11" s="33" t="n">
        <v>0.028</v>
      </c>
      <c r="I11" s="34" t="n">
        <f aca="false">IF(D11&gt;0,F11*H11*D11,0)</f>
        <v>109.2</v>
      </c>
      <c r="J11" s="21" t="n">
        <f aca="false">IF(E11&gt;0,(F11*H11)/E11,0)</f>
        <v>0.0312</v>
      </c>
      <c r="K11" s="22" t="n">
        <f aca="false">IF(D11&gt;0,D11*F11,0)</f>
        <v>3900</v>
      </c>
      <c r="L11" s="22" t="n">
        <f aca="false">IF(D11&gt;0,(F11-E11)*D11,0)</f>
        <v>400</v>
      </c>
      <c r="M11" s="23" t="n">
        <f aca="false">IF(E11&gt;0,(F11-E11)/E11,0)</f>
        <v>0.114285714285714</v>
      </c>
      <c r="N11" s="23" t="n">
        <f aca="false">IF(SUM(K$2:K$31)&gt;0,K11/SUM(K$2:K$31),0)</f>
        <v>0.0630904620163065</v>
      </c>
    </row>
    <row r="12" customFormat="false" ht="15" hidden="false" customHeight="false" outlineLevel="0" collapsed="false">
      <c r="A12" s="35"/>
      <c r="B12" s="36"/>
      <c r="C12" s="36"/>
      <c r="D12" s="36"/>
      <c r="E12" s="36"/>
      <c r="F12" s="36"/>
      <c r="G12" s="16" t="n">
        <f aca="false">IF(D12&gt;0,D12*E12,0)</f>
        <v>0</v>
      </c>
      <c r="H12" s="36"/>
      <c r="I12" s="30" t="n">
        <f aca="false">IF(D12&gt;0,F12*H12*D12,0)</f>
        <v>0</v>
      </c>
      <c r="J12" s="15" t="n">
        <f aca="false">IF(E12&gt;0,(F12*H12)/E12,0)</f>
        <v>0</v>
      </c>
      <c r="K12" s="16" t="n">
        <f aca="false">IF(D12&gt;0,D12*F12,0)</f>
        <v>0</v>
      </c>
      <c r="L12" s="16" t="n">
        <f aca="false">IF(D12&gt;0,(F12-E12)*D12,0)</f>
        <v>0</v>
      </c>
      <c r="M12" s="17" t="n">
        <f aca="false">IF(E12&gt;0,(F12-E12)/E12,0)</f>
        <v>0</v>
      </c>
      <c r="N12" s="17" t="n">
        <f aca="false">IF(SUM(K$2:K$31)&gt;0,K12/SUM(K$2:K$31),0)</f>
        <v>0</v>
      </c>
    </row>
    <row r="13" customFormat="false" ht="15" hidden="false" customHeight="false" outlineLevel="0" collapsed="false">
      <c r="A13" s="37"/>
      <c r="B13" s="38"/>
      <c r="C13" s="38"/>
      <c r="D13" s="38"/>
      <c r="E13" s="38"/>
      <c r="F13" s="38"/>
      <c r="G13" s="22" t="n">
        <f aca="false">IF(D13&gt;0,D13*E13,0)</f>
        <v>0</v>
      </c>
      <c r="H13" s="38"/>
      <c r="I13" s="34" t="n">
        <f aca="false">IF(D13&gt;0,F13*H13*D13,0)</f>
        <v>0</v>
      </c>
      <c r="J13" s="21" t="n">
        <f aca="false">IF(E13&gt;0,(F13*H13)/E13,0)</f>
        <v>0</v>
      </c>
      <c r="K13" s="22" t="n">
        <f aca="false">IF(D13&gt;0,D13*F13,0)</f>
        <v>0</v>
      </c>
      <c r="L13" s="22" t="n">
        <f aca="false">IF(D13&gt;0,(F13-E13)*D13,0)</f>
        <v>0</v>
      </c>
      <c r="M13" s="23" t="n">
        <f aca="false">IF(E13&gt;0,(F13-E13)/E13,0)</f>
        <v>0</v>
      </c>
      <c r="N13" s="23" t="n">
        <f aca="false">IF(SUM(K$2:K$31)&gt;0,K13/SUM(K$2:K$31),0)</f>
        <v>0</v>
      </c>
    </row>
    <row r="14" customFormat="false" ht="15" hidden="false" customHeight="false" outlineLevel="0" collapsed="false">
      <c r="A14" s="35"/>
      <c r="B14" s="36"/>
      <c r="C14" s="36"/>
      <c r="D14" s="36"/>
      <c r="E14" s="36"/>
      <c r="F14" s="36"/>
      <c r="G14" s="16" t="n">
        <f aca="false">IF(D14&gt;0,D14*E14,0)</f>
        <v>0</v>
      </c>
      <c r="H14" s="36"/>
      <c r="I14" s="30" t="n">
        <f aca="false">IF(D14&gt;0,F14*H14*D14,0)</f>
        <v>0</v>
      </c>
      <c r="J14" s="15" t="n">
        <f aca="false">IF(E14&gt;0,(F14*H14)/E14,0)</f>
        <v>0</v>
      </c>
      <c r="K14" s="16" t="n">
        <f aca="false">IF(D14&gt;0,D14*F14,0)</f>
        <v>0</v>
      </c>
      <c r="L14" s="16" t="n">
        <f aca="false">IF(D14&gt;0,(F14-E14)*D14,0)</f>
        <v>0</v>
      </c>
      <c r="M14" s="17" t="n">
        <f aca="false">IF(E14&gt;0,(F14-E14)/E14,0)</f>
        <v>0</v>
      </c>
      <c r="N14" s="17" t="n">
        <f aca="false">IF(SUM(K$2:K$31)&gt;0,K14/SUM(K$2:K$31),0)</f>
        <v>0</v>
      </c>
    </row>
    <row r="15" customFormat="false" ht="15" hidden="false" customHeight="false" outlineLevel="0" collapsed="false">
      <c r="A15" s="37"/>
      <c r="B15" s="38"/>
      <c r="C15" s="38"/>
      <c r="D15" s="38"/>
      <c r="E15" s="38"/>
      <c r="F15" s="38"/>
      <c r="G15" s="22" t="n">
        <f aca="false">IF(D15&gt;0,D15*E15,0)</f>
        <v>0</v>
      </c>
      <c r="H15" s="38"/>
      <c r="I15" s="34" t="n">
        <f aca="false">IF(D15&gt;0,F15*H15*D15,0)</f>
        <v>0</v>
      </c>
      <c r="J15" s="21" t="n">
        <f aca="false">IF(E15&gt;0,(F15*H15)/E15,0)</f>
        <v>0</v>
      </c>
      <c r="K15" s="22" t="n">
        <f aca="false">IF(D15&gt;0,D15*F15,0)</f>
        <v>0</v>
      </c>
      <c r="L15" s="22" t="n">
        <f aca="false">IF(D15&gt;0,(F15-E15)*D15,0)</f>
        <v>0</v>
      </c>
      <c r="M15" s="23" t="n">
        <f aca="false">IF(E15&gt;0,(F15-E15)/E15,0)</f>
        <v>0</v>
      </c>
      <c r="N15" s="23" t="n">
        <f aca="false">IF(SUM(K$2:K$31)&gt;0,K15/SUM(K$2:K$31),0)</f>
        <v>0</v>
      </c>
    </row>
    <row r="16" customFormat="false" ht="15" hidden="false" customHeight="false" outlineLevel="0" collapsed="false">
      <c r="A16" s="35"/>
      <c r="B16" s="36"/>
      <c r="C16" s="36"/>
      <c r="D16" s="36"/>
      <c r="E16" s="36"/>
      <c r="F16" s="36"/>
      <c r="G16" s="16" t="n">
        <f aca="false">IF(D16&gt;0,D16*E16,0)</f>
        <v>0</v>
      </c>
      <c r="H16" s="36"/>
      <c r="I16" s="30" t="n">
        <f aca="false">IF(D16&gt;0,F16*H16*D16,0)</f>
        <v>0</v>
      </c>
      <c r="J16" s="15" t="n">
        <f aca="false">IF(E16&gt;0,(F16*H16)/E16,0)</f>
        <v>0</v>
      </c>
      <c r="K16" s="16" t="n">
        <f aca="false">IF(D16&gt;0,D16*F16,0)</f>
        <v>0</v>
      </c>
      <c r="L16" s="16" t="n">
        <f aca="false">IF(D16&gt;0,(F16-E16)*D16,0)</f>
        <v>0</v>
      </c>
      <c r="M16" s="17" t="n">
        <f aca="false">IF(E16&gt;0,(F16-E16)/E16,0)</f>
        <v>0</v>
      </c>
      <c r="N16" s="17" t="n">
        <f aca="false">IF(SUM(K$2:K$31)&gt;0,K16/SUM(K$2:K$31),0)</f>
        <v>0</v>
      </c>
    </row>
    <row r="17" customFormat="false" ht="15" hidden="false" customHeight="false" outlineLevel="0" collapsed="false">
      <c r="A17" s="37"/>
      <c r="B17" s="38"/>
      <c r="C17" s="38"/>
      <c r="D17" s="38"/>
      <c r="E17" s="38"/>
      <c r="F17" s="38"/>
      <c r="G17" s="22" t="n">
        <f aca="false">IF(D17&gt;0,D17*E17,0)</f>
        <v>0</v>
      </c>
      <c r="H17" s="38"/>
      <c r="I17" s="34" t="n">
        <f aca="false">IF(D17&gt;0,F17*H17*D17,0)</f>
        <v>0</v>
      </c>
      <c r="J17" s="21" t="n">
        <f aca="false">IF(E17&gt;0,(F17*H17)/E17,0)</f>
        <v>0</v>
      </c>
      <c r="K17" s="22" t="n">
        <f aca="false">IF(D17&gt;0,D17*F17,0)</f>
        <v>0</v>
      </c>
      <c r="L17" s="22" t="n">
        <f aca="false">IF(D17&gt;0,(F17-E17)*D17,0)</f>
        <v>0</v>
      </c>
      <c r="M17" s="23" t="n">
        <f aca="false">IF(E17&gt;0,(F17-E17)/E17,0)</f>
        <v>0</v>
      </c>
      <c r="N17" s="23" t="n">
        <f aca="false">IF(SUM(K$2:K$31)&gt;0,K17/SUM(K$2:K$31),0)</f>
        <v>0</v>
      </c>
    </row>
    <row r="18" customFormat="false" ht="15" hidden="false" customHeight="false" outlineLevel="0" collapsed="false">
      <c r="A18" s="35"/>
      <c r="B18" s="36"/>
      <c r="C18" s="36"/>
      <c r="D18" s="36"/>
      <c r="E18" s="36"/>
      <c r="F18" s="36"/>
      <c r="G18" s="16" t="n">
        <f aca="false">IF(D18&gt;0,D18*E18,0)</f>
        <v>0</v>
      </c>
      <c r="H18" s="36"/>
      <c r="I18" s="30" t="n">
        <f aca="false">IF(D18&gt;0,F18*H18*D18,0)</f>
        <v>0</v>
      </c>
      <c r="J18" s="15" t="n">
        <f aca="false">IF(E18&gt;0,(F18*H18)/E18,0)</f>
        <v>0</v>
      </c>
      <c r="K18" s="16" t="n">
        <f aca="false">IF(D18&gt;0,D18*F18,0)</f>
        <v>0</v>
      </c>
      <c r="L18" s="16" t="n">
        <f aca="false">IF(D18&gt;0,(F18-E18)*D18,0)</f>
        <v>0</v>
      </c>
      <c r="M18" s="17" t="n">
        <f aca="false">IF(E18&gt;0,(F18-E18)/E18,0)</f>
        <v>0</v>
      </c>
      <c r="N18" s="17" t="n">
        <f aca="false">IF(SUM(K$2:K$31)&gt;0,K18/SUM(K$2:K$31),0)</f>
        <v>0</v>
      </c>
    </row>
    <row r="19" customFormat="false" ht="15" hidden="false" customHeight="false" outlineLevel="0" collapsed="false">
      <c r="A19" s="37"/>
      <c r="B19" s="38"/>
      <c r="C19" s="38"/>
      <c r="D19" s="38"/>
      <c r="E19" s="38"/>
      <c r="F19" s="38"/>
      <c r="G19" s="22" t="n">
        <f aca="false">IF(D19&gt;0,D19*E19,0)</f>
        <v>0</v>
      </c>
      <c r="H19" s="38"/>
      <c r="I19" s="34" t="n">
        <f aca="false">IF(D19&gt;0,F19*H19*D19,0)</f>
        <v>0</v>
      </c>
      <c r="J19" s="21" t="n">
        <f aca="false">IF(E19&gt;0,(F19*H19)/E19,0)</f>
        <v>0</v>
      </c>
      <c r="K19" s="22" t="n">
        <f aca="false">IF(D19&gt;0,D19*F19,0)</f>
        <v>0</v>
      </c>
      <c r="L19" s="22" t="n">
        <f aca="false">IF(D19&gt;0,(F19-E19)*D19,0)</f>
        <v>0</v>
      </c>
      <c r="M19" s="23" t="n">
        <f aca="false">IF(E19&gt;0,(F19-E19)/E19,0)</f>
        <v>0</v>
      </c>
      <c r="N19" s="23" t="n">
        <f aca="false">IF(SUM(K$2:K$31)&gt;0,K19/SUM(K$2:K$31),0)</f>
        <v>0</v>
      </c>
    </row>
    <row r="20" customFormat="false" ht="15" hidden="false" customHeight="false" outlineLevel="0" collapsed="false">
      <c r="A20" s="35"/>
      <c r="B20" s="36"/>
      <c r="C20" s="36"/>
      <c r="D20" s="36"/>
      <c r="E20" s="36"/>
      <c r="F20" s="36"/>
      <c r="G20" s="16" t="n">
        <f aca="false">IF(D20&gt;0,D20*E20,0)</f>
        <v>0</v>
      </c>
      <c r="H20" s="36"/>
      <c r="I20" s="30" t="n">
        <f aca="false">IF(D20&gt;0,F20*H20*D20,0)</f>
        <v>0</v>
      </c>
      <c r="J20" s="15" t="n">
        <f aca="false">IF(E20&gt;0,(F20*H20)/E20,0)</f>
        <v>0</v>
      </c>
      <c r="K20" s="16" t="n">
        <f aca="false">IF(D20&gt;0,D20*F20,0)</f>
        <v>0</v>
      </c>
      <c r="L20" s="16" t="n">
        <f aca="false">IF(D20&gt;0,(F20-E20)*D20,0)</f>
        <v>0</v>
      </c>
      <c r="M20" s="17" t="n">
        <f aca="false">IF(E20&gt;0,(F20-E20)/E20,0)</f>
        <v>0</v>
      </c>
      <c r="N20" s="17" t="n">
        <f aca="false">IF(SUM(K$2:K$31)&gt;0,K20/SUM(K$2:K$31),0)</f>
        <v>0</v>
      </c>
    </row>
    <row r="21" customFormat="false" ht="15" hidden="false" customHeight="false" outlineLevel="0" collapsed="false">
      <c r="A21" s="37"/>
      <c r="B21" s="38"/>
      <c r="C21" s="38"/>
      <c r="D21" s="38"/>
      <c r="E21" s="38"/>
      <c r="F21" s="38"/>
      <c r="G21" s="22" t="n">
        <f aca="false">IF(D21&gt;0,D21*E21,0)</f>
        <v>0</v>
      </c>
      <c r="H21" s="38"/>
      <c r="I21" s="34" t="n">
        <f aca="false">IF(D21&gt;0,F21*H21*D21,0)</f>
        <v>0</v>
      </c>
      <c r="J21" s="21" t="n">
        <f aca="false">IF(E21&gt;0,(F21*H21)/E21,0)</f>
        <v>0</v>
      </c>
      <c r="K21" s="22" t="n">
        <f aca="false">IF(D21&gt;0,D21*F21,0)</f>
        <v>0</v>
      </c>
      <c r="L21" s="22" t="n">
        <f aca="false">IF(D21&gt;0,(F21-E21)*D21,0)</f>
        <v>0</v>
      </c>
      <c r="M21" s="23" t="n">
        <f aca="false">IF(E21&gt;0,(F21-E21)/E21,0)</f>
        <v>0</v>
      </c>
      <c r="N21" s="23" t="n">
        <f aca="false">IF(SUM(K$2:K$31)&gt;0,K21/SUM(K$2:K$31),0)</f>
        <v>0</v>
      </c>
    </row>
    <row r="22" customFormat="false" ht="15" hidden="false" customHeight="false" outlineLevel="0" collapsed="false">
      <c r="A22" s="35"/>
      <c r="B22" s="36"/>
      <c r="C22" s="36"/>
      <c r="D22" s="36"/>
      <c r="E22" s="36"/>
      <c r="F22" s="36"/>
      <c r="G22" s="16" t="n">
        <f aca="false">IF(D22&gt;0,D22*E22,0)</f>
        <v>0</v>
      </c>
      <c r="H22" s="36"/>
      <c r="I22" s="30" t="n">
        <f aca="false">IF(D22&gt;0,F22*H22*D22,0)</f>
        <v>0</v>
      </c>
      <c r="J22" s="15" t="n">
        <f aca="false">IF(E22&gt;0,(F22*H22)/E22,0)</f>
        <v>0</v>
      </c>
      <c r="K22" s="16" t="n">
        <f aca="false">IF(D22&gt;0,D22*F22,0)</f>
        <v>0</v>
      </c>
      <c r="L22" s="16" t="n">
        <f aca="false">IF(D22&gt;0,(F22-E22)*D22,0)</f>
        <v>0</v>
      </c>
      <c r="M22" s="17" t="n">
        <f aca="false">IF(E22&gt;0,(F22-E22)/E22,0)</f>
        <v>0</v>
      </c>
      <c r="N22" s="17" t="n">
        <f aca="false">IF(SUM(K$2:K$31)&gt;0,K22/SUM(K$2:K$31),0)</f>
        <v>0</v>
      </c>
    </row>
    <row r="23" customFormat="false" ht="15" hidden="false" customHeight="false" outlineLevel="0" collapsed="false">
      <c r="A23" s="37"/>
      <c r="B23" s="38"/>
      <c r="C23" s="38"/>
      <c r="D23" s="38"/>
      <c r="E23" s="38"/>
      <c r="F23" s="38"/>
      <c r="G23" s="22" t="n">
        <f aca="false">IF(D23&gt;0,D23*E23,0)</f>
        <v>0</v>
      </c>
      <c r="H23" s="38"/>
      <c r="I23" s="34" t="n">
        <f aca="false">IF(D23&gt;0,F23*H23*D23,0)</f>
        <v>0</v>
      </c>
      <c r="J23" s="21" t="n">
        <f aca="false">IF(E23&gt;0,(F23*H23)/E23,0)</f>
        <v>0</v>
      </c>
      <c r="K23" s="22" t="n">
        <f aca="false">IF(D23&gt;0,D23*F23,0)</f>
        <v>0</v>
      </c>
      <c r="L23" s="22" t="n">
        <f aca="false">IF(D23&gt;0,(F23-E23)*D23,0)</f>
        <v>0</v>
      </c>
      <c r="M23" s="23" t="n">
        <f aca="false">IF(E23&gt;0,(F23-E23)/E23,0)</f>
        <v>0</v>
      </c>
      <c r="N23" s="23" t="n">
        <f aca="false">IF(SUM(K$2:K$31)&gt;0,K23/SUM(K$2:K$31),0)</f>
        <v>0</v>
      </c>
    </row>
    <row r="24" customFormat="false" ht="15" hidden="false" customHeight="false" outlineLevel="0" collapsed="false">
      <c r="A24" s="35"/>
      <c r="B24" s="36"/>
      <c r="C24" s="36"/>
      <c r="D24" s="36"/>
      <c r="E24" s="36"/>
      <c r="F24" s="36"/>
      <c r="G24" s="16" t="n">
        <f aca="false">IF(D24&gt;0,D24*E24,0)</f>
        <v>0</v>
      </c>
      <c r="H24" s="36"/>
      <c r="I24" s="30" t="n">
        <f aca="false">IF(D24&gt;0,F24*H24*D24,0)</f>
        <v>0</v>
      </c>
      <c r="J24" s="15" t="n">
        <f aca="false">IF(E24&gt;0,(F24*H24)/E24,0)</f>
        <v>0</v>
      </c>
      <c r="K24" s="16" t="n">
        <f aca="false">IF(D24&gt;0,D24*F24,0)</f>
        <v>0</v>
      </c>
      <c r="L24" s="16" t="n">
        <f aca="false">IF(D24&gt;0,(F24-E24)*D24,0)</f>
        <v>0</v>
      </c>
      <c r="M24" s="17" t="n">
        <f aca="false">IF(E24&gt;0,(F24-E24)/E24,0)</f>
        <v>0</v>
      </c>
      <c r="N24" s="17" t="n">
        <f aca="false">IF(SUM(K$2:K$31)&gt;0,K24/SUM(K$2:K$31),0)</f>
        <v>0</v>
      </c>
    </row>
    <row r="25" customFormat="false" ht="15" hidden="false" customHeight="false" outlineLevel="0" collapsed="false">
      <c r="A25" s="37"/>
      <c r="B25" s="38"/>
      <c r="C25" s="38"/>
      <c r="D25" s="38"/>
      <c r="E25" s="38"/>
      <c r="F25" s="38"/>
      <c r="G25" s="22" t="n">
        <f aca="false">IF(D25&gt;0,D25*E25,0)</f>
        <v>0</v>
      </c>
      <c r="H25" s="38"/>
      <c r="I25" s="34" t="n">
        <f aca="false">IF(D25&gt;0,F25*H25*D25,0)</f>
        <v>0</v>
      </c>
      <c r="J25" s="21" t="n">
        <f aca="false">IF(E25&gt;0,(F25*H25)/E25,0)</f>
        <v>0</v>
      </c>
      <c r="K25" s="22" t="n">
        <f aca="false">IF(D25&gt;0,D25*F25,0)</f>
        <v>0</v>
      </c>
      <c r="L25" s="22" t="n">
        <f aca="false">IF(D25&gt;0,(F25-E25)*D25,0)</f>
        <v>0</v>
      </c>
      <c r="M25" s="23" t="n">
        <f aca="false">IF(E25&gt;0,(F25-E25)/E25,0)</f>
        <v>0</v>
      </c>
      <c r="N25" s="23" t="n">
        <f aca="false">IF(SUM(K$2:K$31)&gt;0,K25/SUM(K$2:K$31),0)</f>
        <v>0</v>
      </c>
    </row>
    <row r="26" customFormat="false" ht="15" hidden="false" customHeight="false" outlineLevel="0" collapsed="false">
      <c r="A26" s="35"/>
      <c r="B26" s="36"/>
      <c r="C26" s="36"/>
      <c r="D26" s="36"/>
      <c r="E26" s="36"/>
      <c r="F26" s="36"/>
      <c r="G26" s="16" t="n">
        <f aca="false">IF(D26&gt;0,D26*E26,0)</f>
        <v>0</v>
      </c>
      <c r="H26" s="36"/>
      <c r="I26" s="30" t="n">
        <f aca="false">IF(D26&gt;0,F26*H26*D26,0)</f>
        <v>0</v>
      </c>
      <c r="J26" s="15" t="n">
        <f aca="false">IF(E26&gt;0,(F26*H26)/E26,0)</f>
        <v>0</v>
      </c>
      <c r="K26" s="16" t="n">
        <f aca="false">IF(D26&gt;0,D26*F26,0)</f>
        <v>0</v>
      </c>
      <c r="L26" s="16" t="n">
        <f aca="false">IF(D26&gt;0,(F26-E26)*D26,0)</f>
        <v>0</v>
      </c>
      <c r="M26" s="17" t="n">
        <f aca="false">IF(E26&gt;0,(F26-E26)/E26,0)</f>
        <v>0</v>
      </c>
      <c r="N26" s="17" t="n">
        <f aca="false">IF(SUM(K$2:K$31)&gt;0,K26/SUM(K$2:K$31),0)</f>
        <v>0</v>
      </c>
    </row>
    <row r="27" customFormat="false" ht="15" hidden="false" customHeight="false" outlineLevel="0" collapsed="false">
      <c r="A27" s="37"/>
      <c r="B27" s="38"/>
      <c r="C27" s="38"/>
      <c r="D27" s="38"/>
      <c r="E27" s="38"/>
      <c r="F27" s="38"/>
      <c r="G27" s="22" t="n">
        <f aca="false">IF(D27&gt;0,D27*E27,0)</f>
        <v>0</v>
      </c>
      <c r="H27" s="38"/>
      <c r="I27" s="34" t="n">
        <f aca="false">IF(D27&gt;0,F27*H27*D27,0)</f>
        <v>0</v>
      </c>
      <c r="J27" s="21" t="n">
        <f aca="false">IF(E27&gt;0,(F27*H27)/E27,0)</f>
        <v>0</v>
      </c>
      <c r="K27" s="22" t="n">
        <f aca="false">IF(D27&gt;0,D27*F27,0)</f>
        <v>0</v>
      </c>
      <c r="L27" s="22" t="n">
        <f aca="false">IF(D27&gt;0,(F27-E27)*D27,0)</f>
        <v>0</v>
      </c>
      <c r="M27" s="23" t="n">
        <f aca="false">IF(E27&gt;0,(F27-E27)/E27,0)</f>
        <v>0</v>
      </c>
      <c r="N27" s="23" t="n">
        <f aca="false">IF(SUM(K$2:K$31)&gt;0,K27/SUM(K$2:K$31),0)</f>
        <v>0</v>
      </c>
    </row>
    <row r="28" customFormat="false" ht="15" hidden="false" customHeight="false" outlineLevel="0" collapsed="false">
      <c r="A28" s="35"/>
      <c r="B28" s="36"/>
      <c r="C28" s="36"/>
      <c r="D28" s="36"/>
      <c r="E28" s="36"/>
      <c r="F28" s="36"/>
      <c r="G28" s="16" t="n">
        <f aca="false">IF(D28&gt;0,D28*E28,0)</f>
        <v>0</v>
      </c>
      <c r="H28" s="36"/>
      <c r="I28" s="30" t="n">
        <f aca="false">IF(D28&gt;0,F28*H28*D28,0)</f>
        <v>0</v>
      </c>
      <c r="J28" s="15" t="n">
        <f aca="false">IF(E28&gt;0,(F28*H28)/E28,0)</f>
        <v>0</v>
      </c>
      <c r="K28" s="16" t="n">
        <f aca="false">IF(D28&gt;0,D28*F28,0)</f>
        <v>0</v>
      </c>
      <c r="L28" s="16" t="n">
        <f aca="false">IF(D28&gt;0,(F28-E28)*D28,0)</f>
        <v>0</v>
      </c>
      <c r="M28" s="17" t="n">
        <f aca="false">IF(E28&gt;0,(F28-E28)/E28,0)</f>
        <v>0</v>
      </c>
      <c r="N28" s="17" t="n">
        <f aca="false">IF(SUM(K$2:K$31)&gt;0,K28/SUM(K$2:K$31),0)</f>
        <v>0</v>
      </c>
    </row>
    <row r="29" customFormat="false" ht="15" hidden="false" customHeight="false" outlineLevel="0" collapsed="false">
      <c r="A29" s="37"/>
      <c r="B29" s="38"/>
      <c r="C29" s="38"/>
      <c r="D29" s="38"/>
      <c r="E29" s="38"/>
      <c r="F29" s="38"/>
      <c r="G29" s="22" t="n">
        <f aca="false">IF(D29&gt;0,D29*E29,0)</f>
        <v>0</v>
      </c>
      <c r="H29" s="38"/>
      <c r="I29" s="34" t="n">
        <f aca="false">IF(D29&gt;0,F29*H29*D29,0)</f>
        <v>0</v>
      </c>
      <c r="J29" s="21" t="n">
        <f aca="false">IF(E29&gt;0,(F29*H29)/E29,0)</f>
        <v>0</v>
      </c>
      <c r="K29" s="22" t="n">
        <f aca="false">IF(D29&gt;0,D29*F29,0)</f>
        <v>0</v>
      </c>
      <c r="L29" s="22" t="n">
        <f aca="false">IF(D29&gt;0,(F29-E29)*D29,0)</f>
        <v>0</v>
      </c>
      <c r="M29" s="23" t="n">
        <f aca="false">IF(E29&gt;0,(F29-E29)/E29,0)</f>
        <v>0</v>
      </c>
      <c r="N29" s="23" t="n">
        <f aca="false">IF(SUM(K$2:K$31)&gt;0,K29/SUM(K$2:K$31),0)</f>
        <v>0</v>
      </c>
    </row>
    <row r="30" customFormat="false" ht="15" hidden="false" customHeight="false" outlineLevel="0" collapsed="false">
      <c r="A30" s="35"/>
      <c r="B30" s="36"/>
      <c r="C30" s="36"/>
      <c r="D30" s="36"/>
      <c r="E30" s="36"/>
      <c r="F30" s="36"/>
      <c r="G30" s="16" t="n">
        <f aca="false">IF(D30&gt;0,D30*E30,0)</f>
        <v>0</v>
      </c>
      <c r="H30" s="36"/>
      <c r="I30" s="30" t="n">
        <f aca="false">IF(D30&gt;0,F30*H30*D30,0)</f>
        <v>0</v>
      </c>
      <c r="J30" s="15" t="n">
        <f aca="false">IF(E30&gt;0,(F30*H30)/E30,0)</f>
        <v>0</v>
      </c>
      <c r="K30" s="16" t="n">
        <f aca="false">IF(D30&gt;0,D30*F30,0)</f>
        <v>0</v>
      </c>
      <c r="L30" s="16" t="n">
        <f aca="false">IF(D30&gt;0,(F30-E30)*D30,0)</f>
        <v>0</v>
      </c>
      <c r="M30" s="17" t="n">
        <f aca="false">IF(E30&gt;0,(F30-E30)/E30,0)</f>
        <v>0</v>
      </c>
      <c r="N30" s="17" t="n">
        <f aca="false">IF(SUM(K$2:K$31)&gt;0,K30/SUM(K$2:K$31),0)</f>
        <v>0</v>
      </c>
    </row>
    <row r="31" customFormat="false" ht="15" hidden="false" customHeight="false" outlineLevel="0" collapsed="false">
      <c r="A31" s="37"/>
      <c r="B31" s="38"/>
      <c r="C31" s="38"/>
      <c r="D31" s="38"/>
      <c r="E31" s="38"/>
      <c r="F31" s="38"/>
      <c r="G31" s="22" t="n">
        <f aca="false">IF(D31&gt;0,D31*E31,0)</f>
        <v>0</v>
      </c>
      <c r="H31" s="38"/>
      <c r="I31" s="34" t="n">
        <f aca="false">IF(D31&gt;0,F31*H31*D31,0)</f>
        <v>0</v>
      </c>
      <c r="J31" s="21" t="n">
        <f aca="false">IF(E31&gt;0,(F31*H31)/E31,0)</f>
        <v>0</v>
      </c>
      <c r="K31" s="22" t="n">
        <f aca="false">IF(D31&gt;0,D31*F31,0)</f>
        <v>0</v>
      </c>
      <c r="L31" s="22" t="n">
        <f aca="false">IF(D31&gt;0,(F31-E31)*D31,0)</f>
        <v>0</v>
      </c>
      <c r="M31" s="23" t="n">
        <f aca="false">IF(E31&gt;0,(F31-E31)/E31,0)</f>
        <v>0</v>
      </c>
      <c r="N31" s="23" t="n">
        <f aca="false">IF(SUM(K$2:K$31)&gt;0,K31/SUM(K$2:K$31),0)</f>
        <v>0</v>
      </c>
    </row>
    <row r="32" customFormat="false" ht="15" hidden="false" customHeight="false" outlineLevel="0" collapsed="false">
      <c r="A32" s="39" t="s">
        <v>67</v>
      </c>
      <c r="B32" s="40"/>
      <c r="C32" s="40"/>
      <c r="D32" s="41" t="n">
        <f aca="false">SUM(D2:D31)</f>
        <v>755</v>
      </c>
      <c r="E32" s="40"/>
      <c r="F32" s="40"/>
      <c r="G32" s="42" t="n">
        <f aca="false">SUM(G2:G31)</f>
        <v>58325</v>
      </c>
      <c r="H32" s="40"/>
      <c r="I32" s="42" t="n">
        <f aca="false">SUM(I2:I31)</f>
        <v>2482.7272</v>
      </c>
      <c r="J32" s="40"/>
      <c r="K32" s="42" t="n">
        <f aca="false">SUM(K2:K31)</f>
        <v>61816</v>
      </c>
      <c r="L32" s="42" t="n">
        <f aca="false">SUM(L2:L31)</f>
        <v>3491</v>
      </c>
      <c r="M32" s="43" t="n">
        <f aca="false">IF(G32&gt;0,(K32-G32)/G32,0)</f>
        <v>0.059854264894985</v>
      </c>
      <c r="N32" s="40"/>
    </row>
  </sheetData>
  <conditionalFormatting sqref="L2:L31">
    <cfRule type="cellIs" priority="2" operator="greaterThan" aboveAverage="0" equalAverage="0" bottom="0" percent="0" rank="0" text="" dxfId="0">
      <formula>0</formula>
    </cfRule>
    <cfRule type="cellIs" priority="3" operator="lessThan" aboveAverage="0" equalAverage="0" bottom="0" percent="0" rank="0" text="" dxfId="1">
      <formula>0</formula>
    </cfRule>
  </conditionalFormatting>
  <conditionalFormatting sqref="M2:M31">
    <cfRule type="cellIs" priority="4" operator="greaterThan" aboveAverage="0" equalAverage="0" bottom="0" percent="0" rank="0" text="" dxfId="0">
      <formula>0</formula>
    </cfRule>
    <cfRule type="cellIs" priority="5" operator="lessThan" aboveAverage="0" equalAverage="0" bottom="0" percent="0" rank="0" text="" dxfId="1">
      <formula>0</formula>
    </cfRule>
  </conditionalFormatting>
  <dataValidations count="1">
    <dataValidation allowBlank="false" errorStyle="stop" operator="between" showDropDown="false" showErrorMessage="false" showInputMessage="false" sqref="C2:C31" type="list">
      <formula1>"ETF,REIT,Healthcare,Consumer,Tech,Financials,Energy,Utilities,Industrials,Materials,Telecom"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59E0B"/>
    <pageSetUpPr fitToPage="false"/>
  </sheetPr>
  <dimension ref="A1:O1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14"/>
    <col collapsed="false" customWidth="true" hidden="false" outlineLevel="0" max="14" min="3" style="0" width="11"/>
    <col collapsed="false" customWidth="true" hidden="false" outlineLevel="0" max="15" min="15" style="0" width="3"/>
  </cols>
  <sheetData>
    <row r="1" customFormat="false" ht="22.05" hidden="false" customHeight="false" outlineLevel="0" collapsed="false">
      <c r="A1" s="1"/>
      <c r="B1" s="2" t="s">
        <v>68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1"/>
    </row>
    <row r="2" customFormat="false" ht="15" hidden="false" customHeight="false" outlineLevel="0" collapsed="false">
      <c r="A2" s="1"/>
      <c r="B2" s="40" t="s">
        <v>20</v>
      </c>
      <c r="C2" s="11" t="s">
        <v>7</v>
      </c>
      <c r="D2" s="11" t="s">
        <v>8</v>
      </c>
      <c r="E2" s="11" t="s">
        <v>9</v>
      </c>
      <c r="F2" s="11" t="s">
        <v>10</v>
      </c>
      <c r="G2" s="11" t="s">
        <v>11</v>
      </c>
      <c r="H2" s="11" t="s">
        <v>12</v>
      </c>
      <c r="I2" s="11" t="s">
        <v>13</v>
      </c>
      <c r="J2" s="11" t="s">
        <v>14</v>
      </c>
      <c r="K2" s="11" t="s">
        <v>15</v>
      </c>
      <c r="L2" s="11" t="s">
        <v>16</v>
      </c>
      <c r="M2" s="11" t="s">
        <v>17</v>
      </c>
      <c r="N2" s="11" t="s">
        <v>18</v>
      </c>
      <c r="O2" s="1"/>
    </row>
    <row r="3" customFormat="false" ht="15" hidden="false" customHeight="false" outlineLevel="0" collapsed="false">
      <c r="A3" s="1"/>
      <c r="B3" s="44" t="str">
        <f aca="false">Portfolio!A2</f>
        <v>SCHD</v>
      </c>
      <c r="C3" s="45"/>
      <c r="D3" s="45"/>
      <c r="E3" s="46" t="n">
        <v>41.61</v>
      </c>
      <c r="F3" s="45"/>
      <c r="G3" s="45"/>
      <c r="H3" s="46" t="n">
        <v>41.61</v>
      </c>
      <c r="I3" s="45"/>
      <c r="J3" s="45"/>
      <c r="K3" s="46" t="n">
        <v>41.61</v>
      </c>
      <c r="L3" s="45"/>
      <c r="M3" s="45"/>
      <c r="N3" s="46" t="n">
        <v>41.61</v>
      </c>
      <c r="O3" s="1"/>
    </row>
    <row r="4" customFormat="false" ht="15" hidden="false" customHeight="false" outlineLevel="0" collapsed="false">
      <c r="A4" s="1"/>
      <c r="B4" s="47" t="str">
        <f aca="false">Portfolio!A3</f>
        <v>VYM</v>
      </c>
      <c r="C4" s="48"/>
      <c r="D4" s="48"/>
      <c r="E4" s="49" t="n">
        <v>32.07</v>
      </c>
      <c r="F4" s="48"/>
      <c r="G4" s="48"/>
      <c r="H4" s="49" t="n">
        <v>32.07</v>
      </c>
      <c r="I4" s="48"/>
      <c r="J4" s="48"/>
      <c r="K4" s="49" t="n">
        <v>32.07</v>
      </c>
      <c r="L4" s="48"/>
      <c r="M4" s="48"/>
      <c r="N4" s="49" t="n">
        <v>32.07</v>
      </c>
      <c r="O4" s="1"/>
    </row>
    <row r="5" customFormat="false" ht="15" hidden="false" customHeight="false" outlineLevel="0" collapsed="false">
      <c r="A5" s="1"/>
      <c r="B5" s="44" t="str">
        <f aca="false">Portfolio!A4</f>
        <v>O</v>
      </c>
      <c r="C5" s="46" t="n">
        <v>17.4</v>
      </c>
      <c r="D5" s="46" t="n">
        <v>17.4</v>
      </c>
      <c r="E5" s="46" t="n">
        <v>17.4</v>
      </c>
      <c r="F5" s="46" t="n">
        <v>17.4</v>
      </c>
      <c r="G5" s="46" t="n">
        <v>17.4</v>
      </c>
      <c r="H5" s="46" t="n">
        <v>17.4</v>
      </c>
      <c r="I5" s="46" t="n">
        <v>17.4</v>
      </c>
      <c r="J5" s="46" t="n">
        <v>17.4</v>
      </c>
      <c r="K5" s="46" t="n">
        <v>17.4</v>
      </c>
      <c r="L5" s="46" t="n">
        <v>17.4</v>
      </c>
      <c r="M5" s="46" t="n">
        <v>17.4</v>
      </c>
      <c r="N5" s="46" t="n">
        <v>17.4</v>
      </c>
      <c r="O5" s="1"/>
    </row>
    <row r="6" customFormat="false" ht="15" hidden="false" customHeight="false" outlineLevel="0" collapsed="false">
      <c r="A6" s="1"/>
      <c r="B6" s="47" t="str">
        <f aca="false">Portfolio!A5</f>
        <v>JNJ</v>
      </c>
      <c r="C6" s="48"/>
      <c r="D6" s="48"/>
      <c r="E6" s="49" t="n">
        <v>51.84</v>
      </c>
      <c r="F6" s="48"/>
      <c r="G6" s="48"/>
      <c r="H6" s="49" t="n">
        <v>51.84</v>
      </c>
      <c r="I6" s="48"/>
      <c r="J6" s="48"/>
      <c r="K6" s="49" t="n">
        <v>51.84</v>
      </c>
      <c r="L6" s="48"/>
      <c r="M6" s="48"/>
      <c r="N6" s="49" t="n">
        <v>51.84</v>
      </c>
      <c r="O6" s="1"/>
    </row>
    <row r="7" customFormat="false" ht="15" hidden="false" customHeight="false" outlineLevel="0" collapsed="false">
      <c r="A7" s="1"/>
      <c r="B7" s="44" t="str">
        <f aca="false">Portfolio!A6</f>
        <v>KO</v>
      </c>
      <c r="C7" s="45"/>
      <c r="D7" s="45"/>
      <c r="E7" s="46" t="n">
        <v>38.86</v>
      </c>
      <c r="F7" s="45"/>
      <c r="G7" s="45"/>
      <c r="H7" s="46" t="n">
        <v>38.86</v>
      </c>
      <c r="I7" s="45"/>
      <c r="J7" s="45"/>
      <c r="K7" s="46" t="n">
        <v>38.86</v>
      </c>
      <c r="L7" s="45"/>
      <c r="M7" s="45"/>
      <c r="N7" s="46" t="n">
        <v>38.86</v>
      </c>
      <c r="O7" s="1"/>
    </row>
    <row r="8" customFormat="false" ht="15" hidden="false" customHeight="false" outlineLevel="0" collapsed="false">
      <c r="A8" s="1"/>
      <c r="B8" s="47" t="str">
        <f aca="false">Portfolio!A7</f>
        <v>PG</v>
      </c>
      <c r="C8" s="48"/>
      <c r="D8" s="48"/>
      <c r="E8" s="49" t="n">
        <v>30.87</v>
      </c>
      <c r="F8" s="48"/>
      <c r="G8" s="48"/>
      <c r="H8" s="49" t="n">
        <v>30.87</v>
      </c>
      <c r="I8" s="48"/>
      <c r="J8" s="48"/>
      <c r="K8" s="49" t="n">
        <v>30.87</v>
      </c>
      <c r="L8" s="48"/>
      <c r="M8" s="48"/>
      <c r="N8" s="49" t="n">
        <v>30.87</v>
      </c>
      <c r="O8" s="1"/>
    </row>
    <row r="9" customFormat="false" ht="15" hidden="false" customHeight="false" outlineLevel="0" collapsed="false">
      <c r="A9" s="1"/>
      <c r="B9" s="44" t="str">
        <f aca="false">Portfolio!A8</f>
        <v>JEPI</v>
      </c>
      <c r="C9" s="46" t="n">
        <v>69</v>
      </c>
      <c r="D9" s="46" t="n">
        <v>69</v>
      </c>
      <c r="E9" s="46" t="n">
        <v>69</v>
      </c>
      <c r="F9" s="46" t="n">
        <v>69</v>
      </c>
      <c r="G9" s="46" t="n">
        <v>69</v>
      </c>
      <c r="H9" s="46" t="n">
        <v>69</v>
      </c>
      <c r="I9" s="46" t="n">
        <v>69</v>
      </c>
      <c r="J9" s="46" t="n">
        <v>69</v>
      </c>
      <c r="K9" s="46" t="n">
        <v>69</v>
      </c>
      <c r="L9" s="46" t="n">
        <v>69</v>
      </c>
      <c r="M9" s="46" t="n">
        <v>69</v>
      </c>
      <c r="N9" s="46" t="n">
        <v>69</v>
      </c>
      <c r="O9" s="1"/>
    </row>
    <row r="10" customFormat="false" ht="15" hidden="false" customHeight="false" outlineLevel="0" collapsed="false">
      <c r="A10" s="1"/>
      <c r="B10" s="47" t="str">
        <f aca="false">Portfolio!A9</f>
        <v>ABBV</v>
      </c>
      <c r="C10" s="48"/>
      <c r="D10" s="49" t="n">
        <v>40.05</v>
      </c>
      <c r="E10" s="48"/>
      <c r="F10" s="48"/>
      <c r="G10" s="49" t="n">
        <v>40.05</v>
      </c>
      <c r="H10" s="48"/>
      <c r="I10" s="48"/>
      <c r="J10" s="49" t="n">
        <v>40.05</v>
      </c>
      <c r="K10" s="48"/>
      <c r="L10" s="48"/>
      <c r="M10" s="49" t="n">
        <v>40.05</v>
      </c>
      <c r="N10" s="48"/>
      <c r="O10" s="1"/>
    </row>
    <row r="11" customFormat="false" ht="15" hidden="false" customHeight="false" outlineLevel="0" collapsed="false">
      <c r="A11" s="1"/>
      <c r="B11" s="44" t="str">
        <f aca="false">Portfolio!A10</f>
        <v>PEP</v>
      </c>
      <c r="C11" s="46" t="n">
        <v>36.14</v>
      </c>
      <c r="D11" s="45"/>
      <c r="E11" s="45"/>
      <c r="F11" s="46" t="n">
        <v>36.14</v>
      </c>
      <c r="G11" s="45"/>
      <c r="H11" s="45"/>
      <c r="I11" s="46" t="n">
        <v>36.14</v>
      </c>
      <c r="J11" s="45"/>
      <c r="K11" s="45"/>
      <c r="L11" s="46" t="n">
        <v>36.14</v>
      </c>
      <c r="M11" s="45"/>
      <c r="N11" s="45"/>
      <c r="O11" s="1"/>
    </row>
    <row r="12" customFormat="false" ht="15" hidden="false" customHeight="false" outlineLevel="0" collapsed="false">
      <c r="A12" s="1"/>
      <c r="B12" s="47" t="str">
        <f aca="false">Portfolio!A11</f>
        <v>TXN</v>
      </c>
      <c r="C12" s="48"/>
      <c r="D12" s="49" t="n">
        <v>27.3</v>
      </c>
      <c r="E12" s="48"/>
      <c r="F12" s="48"/>
      <c r="G12" s="49" t="n">
        <v>27.3</v>
      </c>
      <c r="H12" s="48"/>
      <c r="I12" s="48"/>
      <c r="J12" s="49" t="n">
        <v>27.3</v>
      </c>
      <c r="K12" s="48"/>
      <c r="L12" s="48"/>
      <c r="M12" s="49" t="n">
        <v>27.3</v>
      </c>
      <c r="N12" s="48"/>
      <c r="O12" s="1"/>
    </row>
    <row r="13" customFormat="false" ht="15" hidden="false" customHeight="false" outlineLevel="0" collapsed="false">
      <c r="A13" s="1"/>
      <c r="B13" s="50"/>
      <c r="C13" s="48"/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48"/>
      <c r="O13" s="1"/>
    </row>
    <row r="14" customFormat="false" ht="15" hidden="false" customHeight="false" outlineLevel="0" collapsed="false">
      <c r="A14" s="1"/>
      <c r="B14" s="50"/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1"/>
    </row>
    <row r="15" customFormat="false" ht="15" hidden="false" customHeight="false" outlineLevel="0" collapsed="false">
      <c r="A15" s="1"/>
      <c r="B15" s="40" t="s">
        <v>69</v>
      </c>
      <c r="C15" s="51" t="n">
        <f aca="false">SUM(C3:C14)</f>
        <v>122.54</v>
      </c>
      <c r="D15" s="51" t="n">
        <f aca="false">SUM(D3:D14)</f>
        <v>153.75</v>
      </c>
      <c r="E15" s="51" t="n">
        <f aca="false">SUM(E3:E14)</f>
        <v>281.65</v>
      </c>
      <c r="F15" s="51" t="n">
        <f aca="false">SUM(F3:F14)</f>
        <v>122.54</v>
      </c>
      <c r="G15" s="51" t="n">
        <f aca="false">SUM(G3:G14)</f>
        <v>153.75</v>
      </c>
      <c r="H15" s="51" t="n">
        <f aca="false">SUM(H3:H14)</f>
        <v>281.65</v>
      </c>
      <c r="I15" s="51" t="n">
        <f aca="false">SUM(I3:I14)</f>
        <v>122.54</v>
      </c>
      <c r="J15" s="51" t="n">
        <f aca="false">SUM(J3:J14)</f>
        <v>153.75</v>
      </c>
      <c r="K15" s="51" t="n">
        <f aca="false">SUM(K3:K14)</f>
        <v>281.65</v>
      </c>
      <c r="L15" s="51" t="n">
        <f aca="false">SUM(L3:L14)</f>
        <v>122.54</v>
      </c>
      <c r="M15" s="51" t="n">
        <f aca="false">SUM(M3:M14)</f>
        <v>153.75</v>
      </c>
      <c r="N15" s="51" t="n">
        <f aca="false">SUM(N3:N14)</f>
        <v>281.65</v>
      </c>
      <c r="O15" s="1"/>
    </row>
    <row r="16" customFormat="false" ht="15" hidden="false" customHeight="false" outlineLevel="0" collapsed="false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</row>
    <row r="17" customFormat="false" ht="26.8" hidden="false" customHeight="false" outlineLevel="0" collapsed="false">
      <c r="A17" s="1"/>
      <c r="B17" s="52" t="s">
        <v>70</v>
      </c>
      <c r="C17" s="53" t="n">
        <f aca="false">SUM(C15:N15)</f>
        <v>2231.76</v>
      </c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</row>
    <row r="18" customFormat="false" ht="15" hidden="false" customHeight="false" outlineLevel="0" collapsed="false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</row>
    <row r="19" customFormat="false" ht="15" hidden="false" customHeight="false" outlineLevel="0" collapsed="false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</row>
  </sheetData>
  <mergeCells count="1">
    <mergeCell ref="B1:N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EA5E9"/>
    <pageSetUpPr fitToPage="false"/>
  </sheetPr>
  <dimension ref="A1:I3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18"/>
    <col collapsed="false" customWidth="true" hidden="false" outlineLevel="0" max="8" min="3" style="0" width="16"/>
    <col collapsed="false" customWidth="true" hidden="false" outlineLevel="0" max="9" min="9" style="0" width="3"/>
  </cols>
  <sheetData>
    <row r="1" customFormat="false" ht="22.05" hidden="false" customHeight="false" outlineLevel="0" collapsed="false">
      <c r="A1" s="1"/>
      <c r="B1" s="2" t="s">
        <v>71</v>
      </c>
      <c r="C1" s="2"/>
      <c r="D1" s="2"/>
      <c r="E1" s="2"/>
      <c r="F1" s="2"/>
      <c r="G1" s="2"/>
      <c r="H1" s="2"/>
      <c r="I1" s="1"/>
    </row>
    <row r="2" customFormat="false" ht="17.35" hidden="false" customHeight="false" outlineLevel="0" collapsed="false">
      <c r="A2" s="1"/>
      <c r="B2" s="52" t="s">
        <v>72</v>
      </c>
      <c r="C2" s="1"/>
      <c r="D2" s="1"/>
      <c r="E2" s="1"/>
      <c r="F2" s="1"/>
      <c r="G2" s="1"/>
      <c r="H2" s="1"/>
      <c r="I2" s="1"/>
    </row>
    <row r="3" customFormat="false" ht="15" hidden="false" customHeight="false" outlineLevel="0" collapsed="false">
      <c r="A3" s="1"/>
      <c r="B3" s="54" t="s">
        <v>73</v>
      </c>
      <c r="C3" s="55" t="n">
        <f aca="false">SUM(Portfolio!K2:K31)</f>
        <v>61816</v>
      </c>
      <c r="D3" s="1"/>
      <c r="E3" s="1"/>
      <c r="F3" s="1"/>
      <c r="G3" s="1"/>
      <c r="H3" s="1"/>
      <c r="I3" s="1"/>
    </row>
    <row r="4" customFormat="false" ht="15" hidden="false" customHeight="false" outlineLevel="0" collapsed="false">
      <c r="A4" s="1"/>
      <c r="B4" s="54" t="s">
        <v>74</v>
      </c>
      <c r="C4" s="55" t="n">
        <v>500</v>
      </c>
      <c r="D4" s="1"/>
      <c r="E4" s="1"/>
      <c r="F4" s="1"/>
      <c r="G4" s="1"/>
      <c r="H4" s="1"/>
      <c r="I4" s="1"/>
    </row>
    <row r="5" customFormat="false" ht="15" hidden="false" customHeight="false" outlineLevel="0" collapsed="false">
      <c r="A5" s="1"/>
      <c r="B5" s="54" t="s">
        <v>75</v>
      </c>
      <c r="C5" s="56" t="n">
        <v>0.04</v>
      </c>
      <c r="D5" s="1"/>
      <c r="E5" s="1"/>
      <c r="F5" s="1"/>
      <c r="G5" s="1"/>
      <c r="H5" s="1"/>
      <c r="I5" s="1"/>
    </row>
    <row r="6" customFormat="false" ht="15" hidden="false" customHeight="false" outlineLevel="0" collapsed="false">
      <c r="A6" s="1"/>
      <c r="B6" s="54" t="s">
        <v>76</v>
      </c>
      <c r="C6" s="56" t="n">
        <v>0.05</v>
      </c>
      <c r="D6" s="1"/>
      <c r="E6" s="1"/>
      <c r="F6" s="1"/>
      <c r="G6" s="1"/>
      <c r="H6" s="1"/>
      <c r="I6" s="1"/>
    </row>
    <row r="7" customFormat="false" ht="15" hidden="false" customHeight="false" outlineLevel="0" collapsed="false">
      <c r="A7" s="1"/>
      <c r="B7" s="54" t="s">
        <v>77</v>
      </c>
      <c r="C7" s="56" t="n">
        <v>0.07</v>
      </c>
      <c r="D7" s="1"/>
      <c r="E7" s="1"/>
      <c r="F7" s="1"/>
      <c r="G7" s="1"/>
      <c r="H7" s="1"/>
      <c r="I7" s="1"/>
    </row>
    <row r="8" customFormat="false" ht="15" hidden="false" customHeight="false" outlineLevel="0" collapsed="false">
      <c r="A8" s="1"/>
      <c r="B8" s="1"/>
      <c r="C8" s="1"/>
      <c r="D8" s="1"/>
      <c r="E8" s="1"/>
      <c r="F8" s="1"/>
      <c r="G8" s="1"/>
      <c r="H8" s="1"/>
      <c r="I8" s="1"/>
    </row>
    <row r="9" customFormat="false" ht="17.35" hidden="false" customHeight="false" outlineLevel="0" collapsed="false">
      <c r="A9" s="1"/>
      <c r="B9" s="52" t="s">
        <v>78</v>
      </c>
      <c r="C9" s="1"/>
      <c r="D9" s="1"/>
      <c r="E9" s="1"/>
      <c r="F9" s="1"/>
      <c r="G9" s="1"/>
      <c r="H9" s="1"/>
      <c r="I9" s="1"/>
    </row>
    <row r="10" customFormat="false" ht="15" hidden="false" customHeight="false" outlineLevel="0" collapsed="false">
      <c r="A10" s="1"/>
      <c r="B10" s="11" t="s">
        <v>79</v>
      </c>
      <c r="C10" s="11" t="s">
        <v>80</v>
      </c>
      <c r="D10" s="11" t="s">
        <v>81</v>
      </c>
      <c r="E10" s="11" t="s">
        <v>82</v>
      </c>
      <c r="F10" s="11" t="s">
        <v>83</v>
      </c>
      <c r="G10" s="11" t="s">
        <v>26</v>
      </c>
      <c r="H10" s="11" t="s">
        <v>84</v>
      </c>
      <c r="I10" s="1"/>
    </row>
    <row r="11" customFormat="false" ht="15" hidden="false" customHeight="false" outlineLevel="0" collapsed="false">
      <c r="A11" s="1"/>
      <c r="B11" s="57" t="n">
        <v>0</v>
      </c>
      <c r="C11" s="58" t="n">
        <f aca="false">$C$3</f>
        <v>61816</v>
      </c>
      <c r="D11" s="58" t="n">
        <f aca="false">$C$3*$C$5</f>
        <v>2472.64</v>
      </c>
      <c r="E11" s="58" t="n">
        <f aca="false">D11</f>
        <v>2472.64</v>
      </c>
      <c r="F11" s="58" t="n">
        <f aca="false">$C$3</f>
        <v>61816</v>
      </c>
      <c r="G11" s="59" t="n">
        <f aca="false">$C$5</f>
        <v>0.04</v>
      </c>
      <c r="H11" s="60" t="n">
        <f aca="false">IF(F11&gt;0,(C11-F11)/F11,0)</f>
        <v>0</v>
      </c>
      <c r="I11" s="1"/>
    </row>
    <row r="12" customFormat="false" ht="15" hidden="false" customHeight="false" outlineLevel="0" collapsed="false">
      <c r="A12" s="1"/>
      <c r="B12" s="57" t="n">
        <v>1</v>
      </c>
      <c r="C12" s="58" t="n">
        <f aca="false">(C11+$C$4*12+D11)*(1+$C$7)</f>
        <v>75208.8448</v>
      </c>
      <c r="D12" s="61" t="n">
        <f aca="false">C12*$C$5*(1+$C$6)^B12</f>
        <v>3158.7714816</v>
      </c>
      <c r="E12" s="58" t="n">
        <f aca="false">E11+D12</f>
        <v>5631.4114816</v>
      </c>
      <c r="F12" s="58" t="n">
        <f aca="false">$C$3+$C$4*12*B12</f>
        <v>67816</v>
      </c>
      <c r="G12" s="59" t="n">
        <f aca="false">IF(F12&gt;0,D12/F12,0)</f>
        <v>0.0465785578860446</v>
      </c>
      <c r="H12" s="60" t="n">
        <f aca="false">IF(F12&gt;0,(C12-F12)/F12,0)</f>
        <v>0.109013283001062</v>
      </c>
      <c r="I12" s="1"/>
    </row>
    <row r="13" customFormat="false" ht="15" hidden="false" customHeight="false" outlineLevel="0" collapsed="false">
      <c r="A13" s="1"/>
      <c r="B13" s="62" t="n">
        <v>2</v>
      </c>
      <c r="C13" s="63" t="n">
        <f aca="false">(C12+$C$4*12+D12)*(1+$C$7)</f>
        <v>90273.349421312</v>
      </c>
      <c r="D13" s="64" t="n">
        <f aca="false">C13*$C$5*(1+$C$6)^B13</f>
        <v>3981.05470947986</v>
      </c>
      <c r="E13" s="63" t="n">
        <f aca="false">E12+D13</f>
        <v>9612.46619107986</v>
      </c>
      <c r="F13" s="63" t="n">
        <f aca="false">$C$3+$C$4*12*B13</f>
        <v>73816</v>
      </c>
      <c r="G13" s="65" t="n">
        <f aca="false">IF(F13&gt;0,D13/F13,0)</f>
        <v>0.0539321381472832</v>
      </c>
      <c r="H13" s="66" t="n">
        <f aca="false">IF(F13&gt;0,(C13-F13)/F13,0)</f>
        <v>0.222950978396445</v>
      </c>
      <c r="I13" s="1"/>
    </row>
    <row r="14" customFormat="false" ht="15" hidden="false" customHeight="false" outlineLevel="0" collapsed="false">
      <c r="A14" s="1"/>
      <c r="B14" s="57" t="n">
        <v>3</v>
      </c>
      <c r="C14" s="58" t="n">
        <f aca="false">(C13+$C$4*12+D13)*(1+$C$7)</f>
        <v>107272.212419947</v>
      </c>
      <c r="D14" s="61" t="n">
        <f aca="false">C14*$C$5*(1+$C$6)^B14</f>
        <v>4967.23979610566</v>
      </c>
      <c r="E14" s="58" t="n">
        <f aca="false">E13+D14</f>
        <v>14579.7059871855</v>
      </c>
      <c r="F14" s="58" t="n">
        <f aca="false">$C$3+$C$4*12*B14</f>
        <v>79816</v>
      </c>
      <c r="G14" s="59" t="n">
        <f aca="false">IF(F14&gt;0,D14/F14,0)</f>
        <v>0.062233634811387</v>
      </c>
      <c r="H14" s="60" t="n">
        <f aca="false">IF(F14&gt;0,(C14-F14)/F14,0)</f>
        <v>0.343993841083834</v>
      </c>
      <c r="I14" s="1"/>
    </row>
    <row r="15" customFormat="false" ht="15" hidden="false" customHeight="false" outlineLevel="0" collapsed="false">
      <c r="A15" s="1"/>
      <c r="B15" s="62" t="n">
        <v>4</v>
      </c>
      <c r="C15" s="63" t="n">
        <f aca="false">(C14+$C$4*12+D14)*(1+$C$7)</f>
        <v>126516.213871177</v>
      </c>
      <c r="D15" s="64" t="n">
        <f aca="false">C15*$C$5*(1+$C$6)^B15</f>
        <v>6151.24994747008</v>
      </c>
      <c r="E15" s="63" t="n">
        <f aca="false">E14+D15</f>
        <v>20730.9559346556</v>
      </c>
      <c r="F15" s="63" t="n">
        <f aca="false">$C$3+$C$4*12*B15</f>
        <v>85816</v>
      </c>
      <c r="G15" s="65" t="n">
        <f aca="false">IF(F15&gt;0,D15/F15,0)</f>
        <v>0.0716795230198341</v>
      </c>
      <c r="H15" s="66" t="n">
        <f aca="false">IF(F15&gt;0,(C15-F15)/F15,0)</f>
        <v>0.474273024507978</v>
      </c>
      <c r="I15" s="1"/>
    </row>
    <row r="16" customFormat="false" ht="15" hidden="false" customHeight="false" outlineLevel="0" collapsed="false">
      <c r="A16" s="1"/>
      <c r="B16" s="57" t="n">
        <v>5</v>
      </c>
      <c r="C16" s="58" t="n">
        <f aca="false">(C15+$C$4*12+D15)*(1+$C$7)</f>
        <v>148374.186285952</v>
      </c>
      <c r="D16" s="61" t="n">
        <f aca="false">C16*$C$5*(1+$C$6)^B16</f>
        <v>7574.68953230804</v>
      </c>
      <c r="E16" s="58" t="n">
        <f aca="false">E15+D16</f>
        <v>28305.6454669636</v>
      </c>
      <c r="F16" s="58" t="n">
        <f aca="false">$C$3+$C$4*12*B16</f>
        <v>91816</v>
      </c>
      <c r="G16" s="59" t="n">
        <f aca="false">IF(F16&gt;0,D16/F16,0)</f>
        <v>0.0824985790309754</v>
      </c>
      <c r="H16" s="60" t="n">
        <f aca="false">IF(F16&gt;0,(C16-F16)/F16,0)</f>
        <v>0.615994884180884</v>
      </c>
      <c r="I16" s="1"/>
    </row>
    <row r="17" customFormat="false" ht="15" hidden="false" customHeight="false" outlineLevel="0" collapsed="false">
      <c r="A17" s="1"/>
      <c r="B17" s="62" t="n">
        <v>6</v>
      </c>
      <c r="C17" s="63" t="n">
        <f aca="false">(C16+$C$4*12+D16)*(1+$C$7)</f>
        <v>173285.297125538</v>
      </c>
      <c r="D17" s="64" t="n">
        <f aca="false">C17*$C$5*(1+$C$6)^B17</f>
        <v>9288.75485049367</v>
      </c>
      <c r="E17" s="63" t="n">
        <f aca="false">E16+D17</f>
        <v>37594.4003174573</v>
      </c>
      <c r="F17" s="63" t="n">
        <f aca="false">$C$3+$C$4*12*B17</f>
        <v>97816</v>
      </c>
      <c r="G17" s="65" t="n">
        <f aca="false">IF(F17&gt;0,D17/F17,0)</f>
        <v>0.0949615078360766</v>
      </c>
      <c r="H17" s="66" t="n">
        <f aca="false">IF(F17&gt;0,(C17-F17)/F17,0)</f>
        <v>0.771543480877753</v>
      </c>
      <c r="I17" s="1"/>
    </row>
    <row r="18" customFormat="false" ht="15" hidden="false" customHeight="false" outlineLevel="0" collapsed="false">
      <c r="A18" s="1"/>
      <c r="B18" s="57" t="n">
        <v>7</v>
      </c>
      <c r="C18" s="58" t="n">
        <f aca="false">(C17+$C$4*12+D17)*(1+$C$7)</f>
        <v>201774.235614354</v>
      </c>
      <c r="D18" s="61" t="n">
        <f aca="false">C18*$C$5*(1+$C$6)^B18</f>
        <v>11356.664488564</v>
      </c>
      <c r="E18" s="58" t="n">
        <f aca="false">E17+D18</f>
        <v>48951.0648060213</v>
      </c>
      <c r="F18" s="58" t="n">
        <f aca="false">$C$3+$C$4*12*B18</f>
        <v>103816</v>
      </c>
      <c r="G18" s="59" t="n">
        <f aca="false">IF(F18&gt;0,D18/F18,0)</f>
        <v>0.109392237117246</v>
      </c>
      <c r="H18" s="60" t="n">
        <f aca="false">IF(F18&gt;0,(C18-F18)/F18,0)</f>
        <v>0.943575514509847</v>
      </c>
      <c r="I18" s="1"/>
    </row>
    <row r="19" customFormat="false" ht="15" hidden="false" customHeight="false" outlineLevel="0" collapsed="false">
      <c r="A19" s="1"/>
      <c r="B19" s="62" t="n">
        <v>8</v>
      </c>
      <c r="C19" s="63" t="n">
        <f aca="false">(C18+$C$4*12+D18)*(1+$C$7)</f>
        <v>234470.063110123</v>
      </c>
      <c r="D19" s="64" t="n">
        <f aca="false">C19*$C$5*(1+$C$6)^B19</f>
        <v>13856.7628459046</v>
      </c>
      <c r="E19" s="63" t="n">
        <f aca="false">E18+D19</f>
        <v>62807.8276519259</v>
      </c>
      <c r="F19" s="63" t="n">
        <f aca="false">$C$3+$C$4*12*B19</f>
        <v>109816</v>
      </c>
      <c r="G19" s="65" t="n">
        <f aca="false">IF(F19&gt;0,D19/F19,0)</f>
        <v>0.126181638794935</v>
      </c>
      <c r="H19" s="66" t="n">
        <f aca="false">IF(F19&gt;0,(C19-F19)/F19,0)</f>
        <v>1.13511749754246</v>
      </c>
      <c r="I19" s="1"/>
    </row>
    <row r="20" customFormat="false" ht="15" hidden="false" customHeight="false" outlineLevel="0" collapsed="false">
      <c r="A20" s="1"/>
      <c r="B20" s="57" t="n">
        <v>9</v>
      </c>
      <c r="C20" s="58" t="n">
        <f aca="false">(C19+$C$4*12+D19)*(1+$C$7)</f>
        <v>272129.703772949</v>
      </c>
      <c r="D20" s="61" t="n">
        <f aca="false">C20*$C$5*(1+$C$6)^B20</f>
        <v>16886.499514754</v>
      </c>
      <c r="E20" s="58" t="n">
        <f aca="false">E19+D20</f>
        <v>79694.32716668</v>
      </c>
      <c r="F20" s="58" t="n">
        <f aca="false">$C$3+$C$4*12*B20</f>
        <v>115816</v>
      </c>
      <c r="G20" s="59" t="n">
        <f aca="false">IF(F20&gt;0,D20/F20,0)</f>
        <v>0.145804547858276</v>
      </c>
      <c r="H20" s="60" t="n">
        <f aca="false">IF(F20&gt;0,(C20-F20)/F20,0)</f>
        <v>1.34967278936372</v>
      </c>
      <c r="I20" s="1"/>
    </row>
    <row r="21" customFormat="false" ht="15" hidden="false" customHeight="false" outlineLevel="0" collapsed="false">
      <c r="A21" s="1"/>
      <c r="B21" s="62" t="n">
        <v>10</v>
      </c>
      <c r="C21" s="63" t="n">
        <f aca="false">(C20+$C$4*12+D20)*(1+$C$7)</f>
        <v>315667.337517842</v>
      </c>
      <c r="D21" s="64" t="n">
        <f aca="false">C21*$C$5*(1+$C$6)^B21</f>
        <v>20567.5531972782</v>
      </c>
      <c r="E21" s="63" t="n">
        <f aca="false">E20+D21</f>
        <v>100261.880363958</v>
      </c>
      <c r="F21" s="63" t="n">
        <f aca="false">$C$3+$C$4*12*B21</f>
        <v>121816</v>
      </c>
      <c r="G21" s="65" t="n">
        <f aca="false">IF(F21&gt;0,D21/F21,0)</f>
        <v>0.168841147281787</v>
      </c>
      <c r="H21" s="66" t="n">
        <f aca="false">IF(F21&gt;0,(C21-F21)/F21,0)</f>
        <v>1.59134545148291</v>
      </c>
      <c r="I21" s="1"/>
    </row>
    <row r="22" customFormat="false" ht="15" hidden="false" customHeight="false" outlineLevel="0" collapsed="false">
      <c r="A22" s="1"/>
      <c r="B22" s="57" t="n">
        <v>11</v>
      </c>
      <c r="C22" s="58" t="n">
        <f aca="false">(C21+$C$4*12+D21)*(1+$C$7)</f>
        <v>366191.333065179</v>
      </c>
      <c r="D22" s="61" t="n">
        <f aca="false">C22*$C$5*(1+$C$6)^B22</f>
        <v>25052.4579816982</v>
      </c>
      <c r="E22" s="58" t="n">
        <f aca="false">E21+D22</f>
        <v>125314.338345656</v>
      </c>
      <c r="F22" s="58" t="n">
        <f aca="false">$C$3+$C$4*12*B22</f>
        <v>127816</v>
      </c>
      <c r="G22" s="59" t="n">
        <f aca="false">IF(F22&gt;0,D22/F22,0)</f>
        <v>0.196004083852555</v>
      </c>
      <c r="H22" s="60" t="n">
        <f aca="false">IF(F22&gt;0,(C22-F22)/F22,0)</f>
        <v>1.86498821012376</v>
      </c>
      <c r="I22" s="1"/>
    </row>
    <row r="23" customFormat="false" ht="15" hidden="false" customHeight="false" outlineLevel="0" collapsed="false">
      <c r="A23" s="1"/>
      <c r="B23" s="62" t="n">
        <v>12</v>
      </c>
      <c r="C23" s="63" t="n">
        <f aca="false">(C22+$C$4*12+D22)*(1+$C$7)</f>
        <v>425050.856420159</v>
      </c>
      <c r="D23" s="64" t="n">
        <f aca="false">C23*$C$5*(1+$C$6)^B23</f>
        <v>30533.2107753306</v>
      </c>
      <c r="E23" s="63" t="n">
        <f aca="false">E22+D23</f>
        <v>155847.549120987</v>
      </c>
      <c r="F23" s="63" t="n">
        <f aca="false">$C$3+$C$4*12*B23</f>
        <v>133816</v>
      </c>
      <c r="G23" s="65" t="n">
        <f aca="false">IF(F23&gt;0,D23/F23,0)</f>
        <v>0.228173094213925</v>
      </c>
      <c r="H23" s="66" t="n">
        <f aca="false">IF(F23&gt;0,(C23-F23)/F23,0)</f>
        <v>2.17638291699168</v>
      </c>
      <c r="I23" s="1"/>
    </row>
    <row r="24" customFormat="false" ht="15" hidden="false" customHeight="false" outlineLevel="0" collapsed="false">
      <c r="A24" s="1"/>
      <c r="B24" s="57" t="n">
        <v>13</v>
      </c>
      <c r="C24" s="58" t="n">
        <f aca="false">(C23+$C$4*12+D23)*(1+$C$7)</f>
        <v>493894.951899173</v>
      </c>
      <c r="D24" s="61" t="n">
        <f aca="false">C24*$C$5*(1+$C$6)^B24</f>
        <v>37252.5036978581</v>
      </c>
      <c r="E24" s="58" t="n">
        <f aca="false">E23+D24</f>
        <v>193100.052818845</v>
      </c>
      <c r="F24" s="58" t="n">
        <f aca="false">$C$3+$C$4*12*B24</f>
        <v>139816</v>
      </c>
      <c r="G24" s="59" t="n">
        <f aca="false">IF(F24&gt;0,D24/F24,0)</f>
        <v>0.266439489742648</v>
      </c>
      <c r="H24" s="60" t="n">
        <f aca="false">IF(F24&gt;0,(C24-F24)/F24,0)</f>
        <v>2.53246375163911</v>
      </c>
      <c r="I24" s="1"/>
    </row>
    <row r="25" customFormat="false" ht="15" hidden="false" customHeight="false" outlineLevel="0" collapsed="false">
      <c r="A25" s="1"/>
      <c r="B25" s="62" t="n">
        <v>14</v>
      </c>
      <c r="C25" s="63" t="n">
        <f aca="false">(C24+$C$4*12+D24)*(1+$C$7)</f>
        <v>574747.777488824</v>
      </c>
      <c r="D25" s="64" t="n">
        <f aca="false">C25*$C$5*(1+$C$6)^B25</f>
        <v>45518.4514543075</v>
      </c>
      <c r="E25" s="63" t="n">
        <f aca="false">E24+D25</f>
        <v>238618.504273153</v>
      </c>
      <c r="F25" s="63" t="n">
        <f aca="false">$C$3+$C$4*12*B25</f>
        <v>145816</v>
      </c>
      <c r="G25" s="65" t="n">
        <f aca="false">IF(F25&gt;0,D25/F25,0)</f>
        <v>0.312163627134934</v>
      </c>
      <c r="H25" s="66" t="n">
        <f aca="false">IF(F25&gt;0,(C25-F25)/F25,0)</f>
        <v>2.94159610391743</v>
      </c>
      <c r="I25" s="1"/>
    </row>
    <row r="26" customFormat="false" ht="15" hidden="false" customHeight="false" outlineLevel="0" collapsed="false">
      <c r="A26" s="1"/>
      <c r="B26" s="57" t="n">
        <v>15</v>
      </c>
      <c r="C26" s="58" t="n">
        <f aca="false">(C25+$C$4*12+D25)*(1+$C$7)</f>
        <v>670104.86496915</v>
      </c>
      <c r="D26" s="61" t="n">
        <f aca="false">C26*$C$5*(1+$C$6)^B26</f>
        <v>55723.9954778007</v>
      </c>
      <c r="E26" s="58" t="n">
        <f aca="false">E25+D26</f>
        <v>294342.499750953</v>
      </c>
      <c r="F26" s="58" t="n">
        <f aca="false">$C$3+$C$4*12*B26</f>
        <v>151816</v>
      </c>
      <c r="G26" s="59" t="n">
        <f aca="false">IF(F26&gt;0,D26/F26,0)</f>
        <v>0.367049556553991</v>
      </c>
      <c r="H26" s="60" t="n">
        <f aca="false">IF(F26&gt;0,(C26-F26)/F26,0)</f>
        <v>3.41392781372945</v>
      </c>
      <c r="I26" s="1"/>
    </row>
    <row r="27" customFormat="false" ht="15" hidden="false" customHeight="false" outlineLevel="0" collapsed="false">
      <c r="A27" s="1"/>
      <c r="B27" s="62" t="n">
        <v>16</v>
      </c>
      <c r="C27" s="63" t="n">
        <f aca="false">(C26+$C$4*12+D26)*(1+$C$7)</f>
        <v>783056.880678238</v>
      </c>
      <c r="D27" s="64" t="n">
        <f aca="false">C27*$C$5*(1+$C$6)^B27</f>
        <v>68372.5986436061</v>
      </c>
      <c r="E27" s="63" t="n">
        <f aca="false">E26+D27</f>
        <v>362715.098394559</v>
      </c>
      <c r="F27" s="63" t="n">
        <f aca="false">$C$3+$C$4*12*B27</f>
        <v>157816</v>
      </c>
      <c r="G27" s="65" t="n">
        <f aca="false">IF(F27&gt;0,D27/F27,0)</f>
        <v>0.433242501670338</v>
      </c>
      <c r="H27" s="66" t="n">
        <f aca="false">IF(F27&gt;0,(C27-F27)/F27,0)</f>
        <v>3.96183454578901</v>
      </c>
      <c r="I27" s="1"/>
    </row>
    <row r="28" customFormat="false" ht="15" hidden="false" customHeight="false" outlineLevel="0" collapsed="false">
      <c r="A28" s="1"/>
      <c r="B28" s="57" t="n">
        <v>17</v>
      </c>
      <c r="C28" s="58" t="n">
        <f aca="false">(C27+$C$4*12+D27)*(1+$C$7)</f>
        <v>917449.542874373</v>
      </c>
      <c r="D28" s="61" t="n">
        <f aca="false">C28*$C$5*(1+$C$6)^B28</f>
        <v>84112.4463170499</v>
      </c>
      <c r="E28" s="58" t="n">
        <f aca="false">E27+D28</f>
        <v>446827.544711609</v>
      </c>
      <c r="F28" s="58" t="n">
        <f aca="false">$C$3+$C$4*12*B28</f>
        <v>163816</v>
      </c>
      <c r="G28" s="59" t="n">
        <f aca="false">IF(F28&gt;0,D28/F28,0)</f>
        <v>0.513456843757935</v>
      </c>
      <c r="H28" s="60" t="n">
        <f aca="false">IF(F28&gt;0,(C28-F28)/F28,0)</f>
        <v>4.60048800406781</v>
      </c>
      <c r="I28" s="1"/>
    </row>
    <row r="29" customFormat="false" ht="15" hidden="false" customHeight="false" outlineLevel="0" collapsed="false">
      <c r="A29" s="1"/>
      <c r="B29" s="62" t="n">
        <v>18</v>
      </c>
      <c r="C29" s="63" t="n">
        <f aca="false">(C28+$C$4*12+D28)*(1+$C$7)</f>
        <v>1078091.32843482</v>
      </c>
      <c r="D29" s="64" t="n">
        <f aca="false">C29*$C$5*(1+$C$6)^B29</f>
        <v>103782.213067473</v>
      </c>
      <c r="E29" s="63" t="n">
        <f aca="false">E28+D29</f>
        <v>550609.757779082</v>
      </c>
      <c r="F29" s="63" t="n">
        <f aca="false">$C$3+$C$4*12*B29</f>
        <v>169816</v>
      </c>
      <c r="G29" s="65" t="n">
        <f aca="false">IF(F29&gt;0,D29/F29,0)</f>
        <v>0.611145080955108</v>
      </c>
      <c r="H29" s="66" t="n">
        <f aca="false">IF(F29&gt;0,(C29-F29)/F29,0)</f>
        <v>5.34858510643769</v>
      </c>
      <c r="I29" s="1"/>
    </row>
    <row r="30" customFormat="false" ht="15" hidden="false" customHeight="false" outlineLevel="0" collapsed="false">
      <c r="A30" s="1"/>
      <c r="B30" s="57" t="n">
        <v>19</v>
      </c>
      <c r="C30" s="58" t="n">
        <f aca="false">(C29+$C$4*12+D29)*(1+$C$7)</f>
        <v>1271024.68940746</v>
      </c>
      <c r="D30" s="61" t="n">
        <f aca="false">C30*$C$5*(1+$C$6)^B30</f>
        <v>128472.643489017</v>
      </c>
      <c r="E30" s="58" t="n">
        <f aca="false">E29+D30</f>
        <v>679082.401268099</v>
      </c>
      <c r="F30" s="58" t="n">
        <f aca="false">$C$3+$C$4*12*B30</f>
        <v>175816</v>
      </c>
      <c r="G30" s="59" t="n">
        <f aca="false">IF(F30&gt;0,D30/F30,0)</f>
        <v>0.730722138423223</v>
      </c>
      <c r="H30" s="60" t="n">
        <f aca="false">IF(F30&gt;0,(C30-F30)/F30,0)</f>
        <v>6.22928908294726</v>
      </c>
      <c r="I30" s="1"/>
    </row>
    <row r="31" customFormat="false" ht="15" hidden="false" customHeight="false" outlineLevel="0" collapsed="false">
      <c r="A31" s="1"/>
      <c r="B31" s="62" t="n">
        <v>20</v>
      </c>
      <c r="C31" s="63" t="n">
        <f aca="false">(C30+$C$4*12+D30)*(1+$C$7)</f>
        <v>1503882.14619923</v>
      </c>
      <c r="D31" s="64" t="n">
        <f aca="false">C31*$C$5*(1+$C$6)^B31</f>
        <v>159609.881892723</v>
      </c>
      <c r="E31" s="63" t="n">
        <f aca="false">E30+D31</f>
        <v>838692.283160822</v>
      </c>
      <c r="F31" s="63" t="n">
        <f aca="false">$C$3+$C$4*12*B31</f>
        <v>181816</v>
      </c>
      <c r="G31" s="65" t="n">
        <f aca="false">IF(F31&gt;0,D31/F31,0)</f>
        <v>0.877864884788594</v>
      </c>
      <c r="H31" s="66" t="n">
        <f aca="false">IF(F31&gt;0,(C31-F31)/F31,0)</f>
        <v>7.27145106150848</v>
      </c>
      <c r="I31" s="1"/>
    </row>
    <row r="32" customFormat="false" ht="15" hidden="false" customHeight="false" outlineLevel="0" collapsed="false">
      <c r="A32" s="1"/>
      <c r="B32" s="57" t="n">
        <v>21</v>
      </c>
      <c r="C32" s="58" t="n">
        <f aca="false">(C31+$C$4*12+D31)*(1+$C$7)</f>
        <v>1786356.47005839</v>
      </c>
      <c r="D32" s="61" t="n">
        <f aca="false">C32*$C$5*(1+$C$6)^B32</f>
        <v>199068.891948184</v>
      </c>
      <c r="E32" s="58" t="n">
        <f aca="false">E31+D32</f>
        <v>1037761.17510901</v>
      </c>
      <c r="F32" s="58" t="n">
        <f aca="false">$C$3+$C$4*12*B32</f>
        <v>187816</v>
      </c>
      <c r="G32" s="59" t="n">
        <f aca="false">IF(F32&gt;0,D32/F32,0)</f>
        <v>1.05991444790744</v>
      </c>
      <c r="H32" s="60" t="n">
        <f aca="false">IF(F32&gt;0,(C32-F32)/F32,0)</f>
        <v>8.51120495622517</v>
      </c>
      <c r="I32" s="1"/>
    </row>
    <row r="33" customFormat="false" ht="15" hidden="false" customHeight="false" outlineLevel="0" collapsed="false">
      <c r="A33" s="1"/>
      <c r="B33" s="62" t="n">
        <v>22</v>
      </c>
      <c r="C33" s="63" t="n">
        <f aca="false">(C32+$C$4*12+D32)*(1+$C$7)</f>
        <v>2130825.13734703</v>
      </c>
      <c r="D33" s="64" t="n">
        <f aca="false">C33*$C$5*(1+$C$6)^B33</f>
        <v>249328.763012123</v>
      </c>
      <c r="E33" s="63" t="n">
        <f aca="false">E32+D33</f>
        <v>1287089.93812113</v>
      </c>
      <c r="F33" s="63" t="n">
        <f aca="false">$C$3+$C$4*12*B33</f>
        <v>193816</v>
      </c>
      <c r="G33" s="65" t="n">
        <f aca="false">IF(F33&gt;0,D33/F33,0)</f>
        <v>1.2864199189547</v>
      </c>
      <c r="H33" s="66" t="n">
        <f aca="false">IF(F33&gt;0,(C33-F33)/F33,0)</f>
        <v>9.99406208644813</v>
      </c>
      <c r="I33" s="1"/>
    </row>
    <row r="34" customFormat="false" ht="15" hidden="false" customHeight="false" outlineLevel="0" collapsed="false">
      <c r="A34" s="1"/>
      <c r="B34" s="57" t="n">
        <v>23</v>
      </c>
      <c r="C34" s="58" t="n">
        <f aca="false">(C33+$C$4*12+D33)*(1+$C$7)</f>
        <v>2553184.67338429</v>
      </c>
      <c r="D34" s="61" t="n">
        <f aca="false">C34*$C$5*(1+$C$6)^B34</f>
        <v>313686.695101805</v>
      </c>
      <c r="E34" s="58" t="n">
        <f aca="false">E33+D34</f>
        <v>1600776.63322293</v>
      </c>
      <c r="F34" s="58" t="n">
        <f aca="false">$C$3+$C$4*12*B34</f>
        <v>199816</v>
      </c>
      <c r="G34" s="59" t="n">
        <f aca="false">IF(F34&gt;0,D34/F34,0)</f>
        <v>1.56987776305103</v>
      </c>
      <c r="H34" s="60" t="n">
        <f aca="false">IF(F34&gt;0,(C34-F34)/F34,0)</f>
        <v>11.7776788314464</v>
      </c>
      <c r="I34" s="1"/>
    </row>
    <row r="35" customFormat="false" ht="15" hidden="false" customHeight="false" outlineLevel="0" collapsed="false">
      <c r="A35" s="1"/>
      <c r="B35" s="62" t="n">
        <v>24</v>
      </c>
      <c r="C35" s="63" t="n">
        <f aca="false">(C34+$C$4*12+D34)*(1+$C$7)</f>
        <v>3073972.36428013</v>
      </c>
      <c r="D35" s="64" t="n">
        <f aca="false">C35*$C$5*(1+$C$6)^B35</f>
        <v>396554.723960693</v>
      </c>
      <c r="E35" s="63" t="n">
        <f aca="false">E34+D35</f>
        <v>1997331.35718363</v>
      </c>
      <c r="F35" s="63" t="n">
        <f aca="false">$C$3+$C$4*12*B35</f>
        <v>205816</v>
      </c>
      <c r="G35" s="65" t="n">
        <f aca="false">IF(F35&gt;0,D35/F35,0)</f>
        <v>1.92674390698824</v>
      </c>
      <c r="H35" s="66" t="n">
        <f aca="false">IF(F35&gt;0,(C35-F35)/F35,0)</f>
        <v>13.9355364222418</v>
      </c>
      <c r="I35" s="1"/>
    </row>
    <row r="36" customFormat="false" ht="15" hidden="false" customHeight="false" outlineLevel="0" collapsed="false">
      <c r="A36" s="1"/>
      <c r="B36" s="57" t="n">
        <v>25</v>
      </c>
      <c r="C36" s="58" t="n">
        <f aca="false">(C35+$C$4*12+D35)*(1+$C$7)</f>
        <v>3719883.98441768</v>
      </c>
      <c r="D36" s="61" t="n">
        <f aca="false">C36*$C$5*(1+$C$6)^B36</f>
        <v>503873.900408212</v>
      </c>
      <c r="E36" s="58" t="n">
        <f aca="false">E35+D36</f>
        <v>2501205.25759184</v>
      </c>
      <c r="F36" s="58" t="n">
        <f aca="false">$C$3+$C$4*12*B36</f>
        <v>211816</v>
      </c>
      <c r="G36" s="59" t="n">
        <f aca="false">IF(F36&gt;0,D36/F36,0)</f>
        <v>2.37882832462237</v>
      </c>
      <c r="H36" s="60" t="n">
        <f aca="false">IF(F36&gt;0,(C36-F36)/F36,0)</f>
        <v>16.5618649413532</v>
      </c>
      <c r="I36" s="1"/>
    </row>
    <row r="37" customFormat="false" ht="15" hidden="false" customHeight="false" outlineLevel="0" collapsed="false">
      <c r="A37" s="1"/>
      <c r="B37" s="1"/>
      <c r="C37" s="1"/>
      <c r="D37" s="1"/>
      <c r="E37" s="1"/>
      <c r="F37" s="1"/>
      <c r="G37" s="1"/>
      <c r="H37" s="1"/>
      <c r="I37" s="1"/>
    </row>
    <row r="38" customFormat="false" ht="15" hidden="false" customHeight="false" outlineLevel="0" collapsed="false">
      <c r="A38" s="1"/>
      <c r="B38" s="1"/>
      <c r="C38" s="1"/>
      <c r="D38" s="1"/>
      <c r="E38" s="1"/>
      <c r="F38" s="1"/>
      <c r="G38" s="1"/>
      <c r="H38" s="1"/>
      <c r="I38" s="1"/>
    </row>
    <row r="39" customFormat="false" ht="15" hidden="false" customHeight="false" outlineLevel="0" collapsed="false">
      <c r="A39" s="1"/>
      <c r="B39" s="1"/>
      <c r="C39" s="1"/>
      <c r="D39" s="1"/>
      <c r="E39" s="1"/>
      <c r="F39" s="1"/>
      <c r="G39" s="1"/>
      <c r="H39" s="1"/>
      <c r="I39" s="1"/>
    </row>
  </sheetData>
  <mergeCells count="1">
    <mergeCell ref="B1:H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8B5CF6"/>
    <pageSetUpPr fitToPage="false"/>
  </sheetPr>
  <dimension ref="A1:F24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20"/>
    <col collapsed="false" customWidth="true" hidden="false" outlineLevel="0" max="5" min="3" style="0" width="16"/>
    <col collapsed="false" customWidth="true" hidden="false" outlineLevel="0" max="6" min="6" style="0" width="3"/>
  </cols>
  <sheetData>
    <row r="1" customFormat="false" ht="22.05" hidden="false" customHeight="false" outlineLevel="0" collapsed="false">
      <c r="A1" s="1"/>
      <c r="B1" s="2" t="s">
        <v>85</v>
      </c>
      <c r="C1" s="2"/>
      <c r="D1" s="2"/>
      <c r="E1" s="2"/>
      <c r="F1" s="1"/>
    </row>
    <row r="2" customFormat="false" ht="15" hidden="false" customHeight="false" outlineLevel="0" collapsed="false">
      <c r="A2" s="1"/>
      <c r="B2" s="1"/>
      <c r="C2" s="1"/>
      <c r="D2" s="1"/>
      <c r="E2" s="1"/>
      <c r="F2" s="1"/>
    </row>
    <row r="3" customFormat="false" ht="15" hidden="false" customHeight="false" outlineLevel="0" collapsed="false">
      <c r="A3" s="1"/>
      <c r="B3" s="11" t="s">
        <v>32</v>
      </c>
      <c r="C3" s="11" t="s">
        <v>38</v>
      </c>
      <c r="D3" s="11" t="s">
        <v>86</v>
      </c>
      <c r="E3" s="11" t="s">
        <v>24</v>
      </c>
      <c r="F3" s="1"/>
    </row>
    <row r="4" customFormat="false" ht="15" hidden="false" customHeight="false" outlineLevel="0" collapsed="false">
      <c r="A4" s="1"/>
      <c r="B4" s="12" t="s">
        <v>44</v>
      </c>
      <c r="C4" s="67" t="n">
        <f aca="false">SUMIF(Portfolio!C$2:C$31,B4,Portfolio!K$2:K$31)</f>
        <v>26661</v>
      </c>
      <c r="D4" s="17" t="n">
        <f aca="false">IF(SUM(C4:C11)&gt;0,C4/SUM(C4:C11),0)</f>
        <v>0.431296104568397</v>
      </c>
      <c r="E4" s="68" t="n">
        <f aca="false">SUMIF(Portfolio!C$2:C$31,B4,Portfolio!I$2:I$31)</f>
        <v>1315.5972</v>
      </c>
      <c r="F4" s="1"/>
    </row>
    <row r="5" customFormat="false" ht="15" hidden="false" customHeight="false" outlineLevel="0" collapsed="false">
      <c r="A5" s="1"/>
      <c r="B5" s="18" t="s">
        <v>49</v>
      </c>
      <c r="C5" s="69" t="n">
        <f aca="false">SUMIF(Portfolio!C$2:C$31,B5,Portfolio!K$2:K$31)</f>
        <v>4185</v>
      </c>
      <c r="D5" s="23" t="n">
        <f aca="false">IF(SUM(C4:C11)&gt;0,C5/SUM(C4:C11),0)</f>
        <v>0.0677009188559596</v>
      </c>
      <c r="E5" s="70" t="n">
        <f aca="false">SUMIF(Portfolio!C$2:C$31,B5,Portfolio!I$2:I$31)</f>
        <v>234.36</v>
      </c>
      <c r="F5" s="1"/>
    </row>
    <row r="6" customFormat="false" ht="15" hidden="false" customHeight="false" outlineLevel="0" collapsed="false">
      <c r="A6" s="1"/>
      <c r="B6" s="12" t="s">
        <v>52</v>
      </c>
      <c r="C6" s="67" t="n">
        <f aca="false">SUMIF(Portfolio!C$2:C$31,B6,Portfolio!K$2:K$31)</f>
        <v>10930</v>
      </c>
      <c r="D6" s="17" t="n">
        <f aca="false">IF(SUM(C4:C11)&gt;0,C6/SUM(C4:C11),0)</f>
        <v>0.176815064061085</v>
      </c>
      <c r="E6" s="68" t="n">
        <f aca="false">SUMIF(Portfolio!C$2:C$31,B6,Portfolio!I$2:I$31)</f>
        <v>367.56</v>
      </c>
      <c r="F6" s="1"/>
    </row>
    <row r="7" customFormat="false" ht="15" hidden="false" customHeight="false" outlineLevel="0" collapsed="false">
      <c r="A7" s="1"/>
      <c r="B7" s="18" t="s">
        <v>55</v>
      </c>
      <c r="C7" s="69" t="n">
        <f aca="false">SUMIF(Portfolio!C$2:C$31,B7,Portfolio!K$2:K$31)</f>
        <v>16140</v>
      </c>
      <c r="D7" s="23" t="n">
        <f aca="false">IF(SUM(C4:C11)&gt;0,C7/SUM(C4:C11),0)</f>
        <v>0.261097450498253</v>
      </c>
      <c r="E7" s="70" t="n">
        <f aca="false">SUMIF(Portfolio!C$2:C$31,B7,Portfolio!I$2:I$31)</f>
        <v>456.01</v>
      </c>
      <c r="F7" s="1"/>
    </row>
    <row r="8" customFormat="false" ht="15" hidden="false" customHeight="false" outlineLevel="0" collapsed="false">
      <c r="A8" s="1"/>
      <c r="B8" s="12" t="s">
        <v>66</v>
      </c>
      <c r="C8" s="67" t="n">
        <f aca="false">SUMIF(Portfolio!C$2:C$31,B8,Portfolio!K$2:K$31)</f>
        <v>3900</v>
      </c>
      <c r="D8" s="17" t="n">
        <f aca="false">IF(SUM(C4:C11)&gt;0,C8/SUM(C4:C11),0)</f>
        <v>0.0630904620163065</v>
      </c>
      <c r="E8" s="68" t="n">
        <f aca="false">SUMIF(Portfolio!C$2:C$31,B8,Portfolio!I$2:I$31)</f>
        <v>109.2</v>
      </c>
      <c r="F8" s="1"/>
    </row>
    <row r="9" customFormat="false" ht="15" hidden="false" customHeight="false" outlineLevel="0" collapsed="false">
      <c r="A9" s="1"/>
      <c r="B9" s="18" t="s">
        <v>87</v>
      </c>
      <c r="C9" s="69" t="n">
        <f aca="false">SUMIF(Portfolio!C$2:C$31,B9,Portfolio!K$2:K$31)</f>
        <v>0</v>
      </c>
      <c r="D9" s="23" t="n">
        <f aca="false">IF(SUM(C4:C11)&gt;0,C9/SUM(C4:C11),0)</f>
        <v>0</v>
      </c>
      <c r="E9" s="70" t="n">
        <f aca="false">SUMIF(Portfolio!C$2:C$31,B9,Portfolio!I$2:I$31)</f>
        <v>0</v>
      </c>
      <c r="F9" s="1"/>
    </row>
    <row r="10" customFormat="false" ht="15" hidden="false" customHeight="false" outlineLevel="0" collapsed="false">
      <c r="A10" s="1"/>
      <c r="B10" s="12" t="s">
        <v>88</v>
      </c>
      <c r="C10" s="67" t="n">
        <f aca="false">SUMIF(Portfolio!C$2:C$31,B10,Portfolio!K$2:K$31)</f>
        <v>0</v>
      </c>
      <c r="D10" s="17" t="n">
        <f aca="false">IF(SUM(C4:C11)&gt;0,C10/SUM(C4:C11),0)</f>
        <v>0</v>
      </c>
      <c r="E10" s="68" t="n">
        <f aca="false">SUMIF(Portfolio!C$2:C$31,B10,Portfolio!I$2:I$31)</f>
        <v>0</v>
      </c>
      <c r="F10" s="1"/>
    </row>
    <row r="11" customFormat="false" ht="15" hidden="false" customHeight="false" outlineLevel="0" collapsed="false">
      <c r="A11" s="1"/>
      <c r="B11" s="18" t="s">
        <v>89</v>
      </c>
      <c r="C11" s="69" t="n">
        <f aca="false">SUMIF(Portfolio!C$2:C$31,B11,Portfolio!K$2:K$31)</f>
        <v>0</v>
      </c>
      <c r="D11" s="23" t="n">
        <f aca="false">IF(SUM(C4:C11)&gt;0,C11/SUM(C4:C11),0)</f>
        <v>0</v>
      </c>
      <c r="E11" s="70" t="n">
        <f aca="false">SUMIF(Portfolio!C$2:C$31,B11,Portfolio!I$2:I$31)</f>
        <v>0</v>
      </c>
      <c r="F11" s="1"/>
    </row>
    <row r="12" customFormat="false" ht="15" hidden="false" customHeight="false" outlineLevel="0" collapsed="false">
      <c r="A12" s="1"/>
      <c r="B12" s="1"/>
      <c r="C12" s="1"/>
      <c r="D12" s="1"/>
      <c r="E12" s="1"/>
      <c r="F12" s="1"/>
    </row>
    <row r="13" customFormat="false" ht="15" hidden="false" customHeight="false" outlineLevel="0" collapsed="false">
      <c r="A13" s="1"/>
      <c r="B13" s="1"/>
      <c r="C13" s="1"/>
      <c r="D13" s="1"/>
      <c r="E13" s="1"/>
      <c r="F13" s="1"/>
    </row>
    <row r="14" customFormat="false" ht="15" hidden="false" customHeight="false" outlineLevel="0" collapsed="false">
      <c r="A14" s="1"/>
      <c r="B14" s="1"/>
      <c r="C14" s="1"/>
      <c r="D14" s="1"/>
      <c r="E14" s="1"/>
      <c r="F14" s="1"/>
    </row>
    <row r="15" customFormat="false" ht="15" hidden="false" customHeight="false" outlineLevel="0" collapsed="false">
      <c r="A15" s="1"/>
      <c r="B15" s="1"/>
      <c r="C15" s="1"/>
      <c r="D15" s="1"/>
      <c r="E15" s="1"/>
      <c r="F15" s="1"/>
    </row>
    <row r="16" customFormat="false" ht="15" hidden="false" customHeight="false" outlineLevel="0" collapsed="false">
      <c r="A16" s="1"/>
      <c r="B16" s="1"/>
      <c r="C16" s="1"/>
      <c r="D16" s="1"/>
      <c r="E16" s="1"/>
      <c r="F16" s="1"/>
    </row>
    <row r="17" customFormat="false" ht="15" hidden="false" customHeight="false" outlineLevel="0" collapsed="false">
      <c r="A17" s="1"/>
      <c r="B17" s="1"/>
      <c r="C17" s="1"/>
      <c r="D17" s="1"/>
      <c r="E17" s="1"/>
      <c r="F17" s="1"/>
    </row>
    <row r="18" customFormat="false" ht="15" hidden="false" customHeight="false" outlineLevel="0" collapsed="false">
      <c r="A18" s="1"/>
      <c r="B18" s="1"/>
      <c r="C18" s="1"/>
      <c r="D18" s="1"/>
      <c r="E18" s="1"/>
      <c r="F18" s="1"/>
    </row>
    <row r="19" customFormat="false" ht="15" hidden="false" customHeight="false" outlineLevel="0" collapsed="false">
      <c r="A19" s="1"/>
      <c r="B19" s="1"/>
      <c r="C19" s="1"/>
      <c r="D19" s="1"/>
      <c r="E19" s="1"/>
      <c r="F19" s="1"/>
    </row>
    <row r="20" customFormat="false" ht="15" hidden="false" customHeight="false" outlineLevel="0" collapsed="false">
      <c r="A20" s="1"/>
      <c r="B20" s="1"/>
      <c r="C20" s="1"/>
      <c r="D20" s="1"/>
      <c r="E20" s="1"/>
      <c r="F20" s="1"/>
    </row>
    <row r="21" customFormat="false" ht="15" hidden="false" customHeight="false" outlineLevel="0" collapsed="false">
      <c r="A21" s="1"/>
      <c r="B21" s="1"/>
      <c r="C21" s="1"/>
      <c r="D21" s="1"/>
      <c r="E21" s="1"/>
      <c r="F21" s="1"/>
    </row>
    <row r="22" customFormat="false" ht="15" hidden="false" customHeight="false" outlineLevel="0" collapsed="false">
      <c r="A22" s="1"/>
      <c r="B22" s="1"/>
      <c r="C22" s="1"/>
      <c r="D22" s="1"/>
      <c r="E22" s="1"/>
      <c r="F22" s="1"/>
    </row>
    <row r="23" customFormat="false" ht="15" hidden="false" customHeight="false" outlineLevel="0" collapsed="false">
      <c r="A23" s="1"/>
      <c r="B23" s="1"/>
      <c r="C23" s="1"/>
      <c r="D23" s="1"/>
      <c r="E23" s="1"/>
      <c r="F23" s="1"/>
    </row>
    <row r="24" customFormat="false" ht="15" hidden="false" customHeight="false" outlineLevel="0" collapsed="false">
      <c r="A24" s="1"/>
      <c r="B24" s="1"/>
      <c r="C24" s="1"/>
      <c r="D24" s="1"/>
      <c r="E24" s="1"/>
      <c r="F24" s="1"/>
    </row>
  </sheetData>
  <mergeCells count="1">
    <mergeCell ref="B1:E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EC4899"/>
    <pageSetUpPr fitToPage="false"/>
  </sheetPr>
  <dimension ref="A1:I22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2" topLeftCell="A3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0"/>
    <col collapsed="false" customWidth="true" hidden="false" outlineLevel="0" max="2" min="2" style="0" width="24"/>
    <col collapsed="false" customWidth="true" hidden="false" outlineLevel="0" max="3" min="3" style="0" width="12"/>
    <col collapsed="false" customWidth="true" hidden="false" outlineLevel="0" max="4" min="4" style="0" width="10"/>
    <col collapsed="false" customWidth="true" hidden="false" outlineLevel="0" max="8" min="5" style="0" width="12"/>
    <col collapsed="false" customWidth="true" hidden="false" outlineLevel="0" max="9" min="9" style="0" width="30"/>
  </cols>
  <sheetData>
    <row r="1" customFormat="false" ht="22.05" hidden="false" customHeight="false" outlineLevel="0" collapsed="false">
      <c r="A1" s="2" t="s">
        <v>90</v>
      </c>
      <c r="B1" s="2"/>
      <c r="C1" s="2"/>
      <c r="D1" s="2"/>
      <c r="E1" s="2"/>
      <c r="F1" s="2"/>
      <c r="G1" s="2"/>
      <c r="H1" s="2"/>
      <c r="I1" s="2"/>
    </row>
    <row r="2" customFormat="false" ht="15" hidden="false" customHeight="false" outlineLevel="0" collapsed="false">
      <c r="A2" s="11" t="s">
        <v>20</v>
      </c>
      <c r="B2" s="11" t="s">
        <v>21</v>
      </c>
      <c r="C2" s="11" t="s">
        <v>91</v>
      </c>
      <c r="D2" s="11" t="s">
        <v>92</v>
      </c>
      <c r="E2" s="11" t="s">
        <v>93</v>
      </c>
      <c r="F2" s="11" t="s">
        <v>94</v>
      </c>
      <c r="G2" s="11" t="s">
        <v>95</v>
      </c>
      <c r="H2" s="11" t="s">
        <v>96</v>
      </c>
      <c r="I2" s="11" t="s">
        <v>97</v>
      </c>
    </row>
    <row r="3" customFormat="false" ht="15" hidden="false" customHeight="false" outlineLevel="0" collapsed="false">
      <c r="A3" s="12" t="s">
        <v>98</v>
      </c>
      <c r="B3" s="13" t="s">
        <v>99</v>
      </c>
      <c r="C3" s="28" t="n">
        <v>420</v>
      </c>
      <c r="D3" s="29" t="n">
        <v>0.0072</v>
      </c>
      <c r="E3" s="17" t="n">
        <v>0.102</v>
      </c>
      <c r="F3" s="71" t="n">
        <v>0.25</v>
      </c>
      <c r="G3" s="72" t="n">
        <v>19</v>
      </c>
      <c r="H3" s="13" t="s">
        <v>100</v>
      </c>
      <c r="I3" s="73" t="s">
        <v>101</v>
      </c>
    </row>
    <row r="4" customFormat="false" ht="15" hidden="false" customHeight="false" outlineLevel="0" collapsed="false">
      <c r="A4" s="18" t="s">
        <v>102</v>
      </c>
      <c r="B4" s="19" t="s">
        <v>103</v>
      </c>
      <c r="C4" s="32" t="n">
        <v>385</v>
      </c>
      <c r="D4" s="33" t="n">
        <v>0.0245</v>
      </c>
      <c r="E4" s="23" t="n">
        <v>0.125</v>
      </c>
      <c r="F4" s="74" t="n">
        <v>0.55</v>
      </c>
      <c r="G4" s="75" t="n">
        <v>15</v>
      </c>
      <c r="H4" s="19" t="s">
        <v>104</v>
      </c>
      <c r="I4" s="76" t="s">
        <v>105</v>
      </c>
    </row>
    <row r="5" customFormat="false" ht="15" hidden="false" customHeight="false" outlineLevel="0" collapsed="false">
      <c r="A5" s="12" t="s">
        <v>106</v>
      </c>
      <c r="B5" s="13" t="s">
        <v>107</v>
      </c>
      <c r="C5" s="28" t="n">
        <v>185</v>
      </c>
      <c r="D5" s="29" t="n">
        <v>0.0185</v>
      </c>
      <c r="E5" s="17" t="n">
        <v>0.158</v>
      </c>
      <c r="F5" s="71" t="n">
        <v>0.48</v>
      </c>
      <c r="G5" s="72" t="n">
        <v>14</v>
      </c>
      <c r="H5" s="13" t="s">
        <v>100</v>
      </c>
      <c r="I5" s="73" t="s">
        <v>108</v>
      </c>
    </row>
    <row r="6" customFormat="false" ht="15" hidden="false" customHeight="false" outlineLevel="0" collapsed="false">
      <c r="A6" s="18" t="s">
        <v>62</v>
      </c>
      <c r="B6" s="19" t="s">
        <v>109</v>
      </c>
      <c r="C6" s="32" t="n">
        <v>172</v>
      </c>
      <c r="D6" s="33" t="n">
        <v>0.0295</v>
      </c>
      <c r="E6" s="23" t="n">
        <v>0.07</v>
      </c>
      <c r="F6" s="74" t="n">
        <v>0.68</v>
      </c>
      <c r="G6" s="75" t="n">
        <v>52</v>
      </c>
      <c r="H6" s="19" t="s">
        <v>110</v>
      </c>
      <c r="I6" s="76" t="s">
        <v>111</v>
      </c>
    </row>
    <row r="7" customFormat="false" ht="15" hidden="false" customHeight="false" outlineLevel="0" collapsed="false">
      <c r="A7" s="12" t="s">
        <v>64</v>
      </c>
      <c r="B7" s="13" t="s">
        <v>65</v>
      </c>
      <c r="C7" s="28" t="n">
        <v>195</v>
      </c>
      <c r="D7" s="29" t="n">
        <v>0.028</v>
      </c>
      <c r="E7" s="17" t="n">
        <v>0.135</v>
      </c>
      <c r="F7" s="71" t="n">
        <v>0.62</v>
      </c>
      <c r="G7" s="72" t="n">
        <v>20</v>
      </c>
      <c r="H7" s="13" t="s">
        <v>104</v>
      </c>
      <c r="I7" s="73" t="s">
        <v>112</v>
      </c>
    </row>
    <row r="8" customFormat="false" ht="15" hidden="false" customHeight="false" outlineLevel="0" collapsed="false">
      <c r="A8" s="18" t="s">
        <v>113</v>
      </c>
      <c r="B8" s="19" t="s">
        <v>114</v>
      </c>
      <c r="C8" s="32" t="n">
        <v>245</v>
      </c>
      <c r="D8" s="33" t="n">
        <v>0.0195</v>
      </c>
      <c r="E8" s="23" t="n">
        <v>0.18</v>
      </c>
      <c r="F8" s="74" t="n">
        <v>0.35</v>
      </c>
      <c r="G8" s="75" t="n">
        <v>61</v>
      </c>
      <c r="H8" s="19" t="s">
        <v>110</v>
      </c>
      <c r="I8" s="76" t="s">
        <v>115</v>
      </c>
    </row>
    <row r="9" customFormat="false" ht="15" hidden="false" customHeight="false" outlineLevel="0" collapsed="false">
      <c r="A9" s="12" t="s">
        <v>116</v>
      </c>
      <c r="B9" s="13" t="s">
        <v>117</v>
      </c>
      <c r="C9" s="28" t="n">
        <v>290</v>
      </c>
      <c r="D9" s="29" t="n">
        <v>0.023</v>
      </c>
      <c r="E9" s="17" t="n">
        <v>0.08</v>
      </c>
      <c r="F9" s="71" t="n">
        <v>0.55</v>
      </c>
      <c r="G9" s="72" t="n">
        <v>48</v>
      </c>
      <c r="H9" s="13" t="s">
        <v>104</v>
      </c>
      <c r="I9" s="73" t="s">
        <v>118</v>
      </c>
    </row>
    <row r="10" customFormat="false" ht="15" hidden="false" customHeight="false" outlineLevel="0" collapsed="false">
      <c r="A10" s="18" t="s">
        <v>119</v>
      </c>
      <c r="B10" s="19" t="s">
        <v>120</v>
      </c>
      <c r="C10" s="32" t="n">
        <v>520</v>
      </c>
      <c r="D10" s="33" t="n">
        <v>0.015</v>
      </c>
      <c r="E10" s="23" t="n">
        <v>0.14</v>
      </c>
      <c r="F10" s="74" t="n">
        <v>0.3</v>
      </c>
      <c r="G10" s="75" t="n">
        <v>15</v>
      </c>
      <c r="H10" s="19" t="s">
        <v>100</v>
      </c>
      <c r="I10" s="76" t="s">
        <v>121</v>
      </c>
    </row>
    <row r="11" customFormat="false" ht="15" hidden="false" customHeight="false" outlineLevel="0" collapsed="false">
      <c r="A11" s="35"/>
      <c r="B11" s="36"/>
      <c r="C11" s="36"/>
      <c r="D11" s="36"/>
      <c r="E11" s="36"/>
      <c r="F11" s="36"/>
      <c r="G11" s="36"/>
      <c r="H11" s="36"/>
      <c r="I11" s="36"/>
    </row>
    <row r="12" customFormat="false" ht="15" hidden="false" customHeight="false" outlineLevel="0" collapsed="false">
      <c r="A12" s="37"/>
      <c r="B12" s="38"/>
      <c r="C12" s="38"/>
      <c r="D12" s="38"/>
      <c r="E12" s="38"/>
      <c r="F12" s="38"/>
      <c r="G12" s="38"/>
      <c r="H12" s="38"/>
      <c r="I12" s="38"/>
    </row>
    <row r="13" customFormat="false" ht="15" hidden="false" customHeight="false" outlineLevel="0" collapsed="false">
      <c r="A13" s="35"/>
      <c r="B13" s="36"/>
      <c r="C13" s="36"/>
      <c r="D13" s="36"/>
      <c r="E13" s="36"/>
      <c r="F13" s="36"/>
      <c r="G13" s="36"/>
      <c r="H13" s="36"/>
      <c r="I13" s="36"/>
    </row>
    <row r="14" customFormat="false" ht="15" hidden="false" customHeight="false" outlineLevel="0" collapsed="false">
      <c r="A14" s="37"/>
      <c r="B14" s="38"/>
      <c r="C14" s="38"/>
      <c r="D14" s="38"/>
      <c r="E14" s="38"/>
      <c r="F14" s="38"/>
      <c r="G14" s="38"/>
      <c r="H14" s="38"/>
      <c r="I14" s="38"/>
    </row>
    <row r="15" customFormat="false" ht="15" hidden="false" customHeight="false" outlineLevel="0" collapsed="false">
      <c r="A15" s="35"/>
      <c r="B15" s="36"/>
      <c r="C15" s="36"/>
      <c r="D15" s="36"/>
      <c r="E15" s="36"/>
      <c r="F15" s="36"/>
      <c r="G15" s="36"/>
      <c r="H15" s="36"/>
      <c r="I15" s="36"/>
    </row>
    <row r="16" customFormat="false" ht="15" hidden="false" customHeight="false" outlineLevel="0" collapsed="false">
      <c r="A16" s="37"/>
      <c r="B16" s="38"/>
      <c r="C16" s="38"/>
      <c r="D16" s="38"/>
      <c r="E16" s="38"/>
      <c r="F16" s="38"/>
      <c r="G16" s="38"/>
      <c r="H16" s="38"/>
      <c r="I16" s="38"/>
    </row>
    <row r="17" customFormat="false" ht="15" hidden="false" customHeight="false" outlineLevel="0" collapsed="false">
      <c r="A17" s="35"/>
      <c r="B17" s="36"/>
      <c r="C17" s="36"/>
      <c r="D17" s="36"/>
      <c r="E17" s="36"/>
      <c r="F17" s="36"/>
      <c r="G17" s="36"/>
      <c r="H17" s="36"/>
      <c r="I17" s="36"/>
    </row>
    <row r="18" customFormat="false" ht="15" hidden="false" customHeight="false" outlineLevel="0" collapsed="false">
      <c r="A18" s="37"/>
      <c r="B18" s="38"/>
      <c r="C18" s="38"/>
      <c r="D18" s="38"/>
      <c r="E18" s="38"/>
      <c r="F18" s="38"/>
      <c r="G18" s="38"/>
      <c r="H18" s="38"/>
      <c r="I18" s="38"/>
    </row>
    <row r="19" customFormat="false" ht="15" hidden="false" customHeight="false" outlineLevel="0" collapsed="false">
      <c r="A19" s="35"/>
      <c r="B19" s="36"/>
      <c r="C19" s="36"/>
      <c r="D19" s="36"/>
      <c r="E19" s="36"/>
      <c r="F19" s="36"/>
      <c r="G19" s="36"/>
      <c r="H19" s="36"/>
      <c r="I19" s="36"/>
    </row>
    <row r="20" customFormat="false" ht="15" hidden="false" customHeight="false" outlineLevel="0" collapsed="false">
      <c r="A20" s="37"/>
      <c r="B20" s="38"/>
      <c r="C20" s="38"/>
      <c r="D20" s="38"/>
      <c r="E20" s="38"/>
      <c r="F20" s="38"/>
      <c r="G20" s="38"/>
      <c r="H20" s="38"/>
      <c r="I20" s="38"/>
    </row>
    <row r="21" customFormat="false" ht="15" hidden="false" customHeight="false" outlineLevel="0" collapsed="false">
      <c r="A21" s="35"/>
      <c r="B21" s="36"/>
      <c r="C21" s="36"/>
      <c r="D21" s="36"/>
      <c r="E21" s="36"/>
      <c r="F21" s="36"/>
      <c r="G21" s="36"/>
      <c r="H21" s="36"/>
      <c r="I21" s="36"/>
    </row>
    <row r="22" customFormat="false" ht="15" hidden="false" customHeight="false" outlineLevel="0" collapsed="false">
      <c r="A22" s="37"/>
      <c r="B22" s="38"/>
      <c r="C22" s="38"/>
      <c r="D22" s="38"/>
      <c r="E22" s="38"/>
      <c r="F22" s="38"/>
      <c r="G22" s="38"/>
      <c r="H22" s="38"/>
      <c r="I22" s="38"/>
    </row>
  </sheetData>
  <mergeCells count="1">
    <mergeCell ref="A1:I1"/>
  </mergeCells>
  <conditionalFormatting sqref="F3:F22">
    <cfRule type="cellIs" priority="2" operator="greaterThan" aboveAverage="0" equalAverage="0" bottom="0" percent="0" rank="0" text="" dxfId="1">
      <formula>0.8</formula>
    </cfRule>
    <cfRule type="cellIs" priority="3" operator="lessThan" aboveAverage="0" equalAverage="0" bottom="0" percent="0" rank="0" text="" dxfId="0">
      <formula>0.5</formula>
    </cfRule>
  </conditionalFormatting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59E0B"/>
    <pageSetUpPr fitToPage="false"/>
  </sheetPr>
  <dimension ref="A1:E2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28"/>
    <col collapsed="false" customWidth="true" hidden="false" outlineLevel="0" max="4" min="3" style="0" width="20"/>
    <col collapsed="false" customWidth="true" hidden="false" outlineLevel="0" max="5" min="5" style="0" width="3"/>
  </cols>
  <sheetData>
    <row r="1" customFormat="false" ht="22.05" hidden="false" customHeight="false" outlineLevel="0" collapsed="false">
      <c r="A1" s="1"/>
      <c r="B1" s="2" t="s">
        <v>122</v>
      </c>
      <c r="C1" s="2"/>
      <c r="D1" s="2"/>
      <c r="E1" s="1"/>
    </row>
    <row r="2" customFormat="false" ht="15" hidden="false" customHeight="false" outlineLevel="0" collapsed="false">
      <c r="A2" s="1"/>
      <c r="B2" s="1"/>
      <c r="C2" s="1"/>
      <c r="D2" s="1"/>
      <c r="E2" s="1"/>
    </row>
    <row r="3" customFormat="false" ht="17.35" hidden="false" customHeight="false" outlineLevel="0" collapsed="false">
      <c r="A3" s="1"/>
      <c r="B3" s="52" t="s">
        <v>123</v>
      </c>
      <c r="C3" s="1"/>
      <c r="D3" s="1"/>
      <c r="E3" s="1"/>
    </row>
    <row r="4" customFormat="false" ht="15" hidden="false" customHeight="false" outlineLevel="0" collapsed="false">
      <c r="A4" s="1"/>
      <c r="B4" s="54" t="s">
        <v>124</v>
      </c>
      <c r="C4" s="55" t="n">
        <v>5000</v>
      </c>
      <c r="D4" s="1"/>
      <c r="E4" s="1"/>
    </row>
    <row r="5" customFormat="false" ht="15" hidden="false" customHeight="false" outlineLevel="0" collapsed="false">
      <c r="A5" s="1"/>
      <c r="B5" s="54" t="s">
        <v>125</v>
      </c>
      <c r="C5" s="55" t="n">
        <v>2000</v>
      </c>
      <c r="D5" s="1"/>
      <c r="E5" s="1"/>
    </row>
    <row r="6" customFormat="false" ht="15" hidden="false" customHeight="false" outlineLevel="0" collapsed="false">
      <c r="A6" s="1"/>
      <c r="B6" s="54" t="s">
        <v>126</v>
      </c>
      <c r="C6" s="55" t="n">
        <v>75000</v>
      </c>
      <c r="D6" s="1"/>
      <c r="E6" s="1"/>
    </row>
    <row r="7" customFormat="false" ht="15" hidden="false" customHeight="false" outlineLevel="0" collapsed="false">
      <c r="A7" s="1"/>
      <c r="B7" s="54" t="s">
        <v>127</v>
      </c>
      <c r="C7" s="77" t="n">
        <v>1</v>
      </c>
      <c r="D7" s="1"/>
      <c r="E7" s="1"/>
    </row>
    <row r="8" customFormat="false" ht="15" hidden="false" customHeight="false" outlineLevel="0" collapsed="false">
      <c r="A8" s="1"/>
      <c r="B8" s="54" t="s">
        <v>128</v>
      </c>
      <c r="C8" s="56" t="n">
        <v>0.05</v>
      </c>
      <c r="D8" s="1"/>
      <c r="E8" s="1"/>
    </row>
    <row r="9" customFormat="false" ht="15" hidden="false" customHeight="false" outlineLevel="0" collapsed="false">
      <c r="A9" s="1"/>
      <c r="B9" s="1"/>
      <c r="C9" s="1"/>
      <c r="D9" s="1"/>
      <c r="E9" s="1"/>
    </row>
    <row r="10" customFormat="false" ht="17.35" hidden="false" customHeight="false" outlineLevel="0" collapsed="false">
      <c r="A10" s="1"/>
      <c r="B10" s="52" t="s">
        <v>129</v>
      </c>
      <c r="C10" s="1"/>
      <c r="D10" s="1"/>
      <c r="E10" s="1"/>
    </row>
    <row r="11" customFormat="false" ht="15" hidden="false" customHeight="false" outlineLevel="0" collapsed="false">
      <c r="A11" s="1"/>
      <c r="B11" s="54" t="s">
        <v>130</v>
      </c>
      <c r="C11" s="58" t="n">
        <f aca="false">C4+C5+C6</f>
        <v>82000</v>
      </c>
      <c r="D11" s="1"/>
      <c r="E11" s="1"/>
    </row>
    <row r="12" customFormat="false" ht="15" hidden="false" customHeight="false" outlineLevel="0" collapsed="false">
      <c r="A12" s="1"/>
      <c r="B12" s="54" t="s">
        <v>131</v>
      </c>
      <c r="C12" s="78" t="n">
        <f aca="false">IF(C7=1,IF(C11&lt;=47025,0,IF(C11&lt;=518900,0.15,0.2)),IF(C11&lt;=94050,0,IF(C11&lt;=583750,0.15,0.2)))</f>
        <v>0.15</v>
      </c>
      <c r="D12" s="1"/>
      <c r="E12" s="1"/>
    </row>
    <row r="13" customFormat="false" ht="15" hidden="false" customHeight="false" outlineLevel="0" collapsed="false">
      <c r="A13" s="1"/>
      <c r="B13" s="54" t="s">
        <v>132</v>
      </c>
      <c r="C13" s="78" t="n">
        <f aca="false">IF(C11&lt;=47150,0.12,IF(C11&lt;=100525,0.22,IF(C11&lt;=191950,0.24,IF(C11&lt;=243725,0.32,IF(C11&lt;=609350,0.35,0.37)))))</f>
        <v>0.22</v>
      </c>
      <c r="D13" s="1"/>
      <c r="E13" s="1"/>
    </row>
    <row r="14" customFormat="false" ht="15" hidden="false" customHeight="false" outlineLevel="0" collapsed="false">
      <c r="A14" s="1"/>
      <c r="B14" s="54" t="s">
        <v>133</v>
      </c>
      <c r="C14" s="58" t="n">
        <f aca="false">C4*C12</f>
        <v>750</v>
      </c>
      <c r="D14" s="1"/>
      <c r="E14" s="1"/>
    </row>
    <row r="15" customFormat="false" ht="15" hidden="false" customHeight="false" outlineLevel="0" collapsed="false">
      <c r="A15" s="1"/>
      <c r="B15" s="54" t="s">
        <v>134</v>
      </c>
      <c r="C15" s="58" t="n">
        <f aca="false">C5*C13</f>
        <v>440</v>
      </c>
      <c r="D15" s="1"/>
      <c r="E15" s="1"/>
    </row>
    <row r="16" customFormat="false" ht="15" hidden="false" customHeight="false" outlineLevel="0" collapsed="false">
      <c r="A16" s="1"/>
      <c r="B16" s="54" t="s">
        <v>135</v>
      </c>
      <c r="C16" s="58" t="n">
        <f aca="false">IF(C7=1,IF(C11&gt;200000,(C4+C5)*0.038,0),IF(C11&gt;250000,(C4+C5)*0.038,0))</f>
        <v>0</v>
      </c>
      <c r="D16" s="1"/>
      <c r="E16" s="1"/>
    </row>
    <row r="17" customFormat="false" ht="15" hidden="false" customHeight="false" outlineLevel="0" collapsed="false">
      <c r="A17" s="1"/>
      <c r="B17" s="54" t="s">
        <v>136</v>
      </c>
      <c r="C17" s="58" t="n">
        <f aca="false">(C4+C5)*C8</f>
        <v>350</v>
      </c>
      <c r="D17" s="1"/>
      <c r="E17" s="1"/>
    </row>
    <row r="18" customFormat="false" ht="17.35" hidden="false" customHeight="false" outlineLevel="0" collapsed="false">
      <c r="A18" s="1"/>
      <c r="B18" s="54" t="s">
        <v>137</v>
      </c>
      <c r="C18" s="79" t="n">
        <f aca="false">C14+C15+C16+C17</f>
        <v>1540</v>
      </c>
      <c r="D18" s="1"/>
      <c r="E18" s="1"/>
    </row>
    <row r="19" customFormat="false" ht="15" hidden="false" customHeight="false" outlineLevel="0" collapsed="false">
      <c r="A19" s="1"/>
      <c r="B19" s="1"/>
      <c r="C19" s="1"/>
      <c r="D19" s="1"/>
      <c r="E19" s="1"/>
    </row>
    <row r="20" customFormat="false" ht="19.7" hidden="false" customHeight="false" outlineLevel="0" collapsed="false">
      <c r="A20" s="1"/>
      <c r="B20" s="54" t="s">
        <v>138</v>
      </c>
      <c r="C20" s="80" t="n">
        <f aca="false">(C4+C5)-C18</f>
        <v>5460</v>
      </c>
      <c r="D20" s="1"/>
      <c r="E20" s="1"/>
    </row>
    <row r="21" customFormat="false" ht="15" hidden="false" customHeight="false" outlineLevel="0" collapsed="false">
      <c r="A21" s="1"/>
      <c r="B21" s="54" t="s">
        <v>139</v>
      </c>
      <c r="C21" s="60" t="n">
        <f aca="false">IF((C4+C5)&gt;0,C18/(C4+C5),0)</f>
        <v>0.22</v>
      </c>
      <c r="D21" s="1"/>
      <c r="E21" s="1"/>
    </row>
    <row r="22" customFormat="false" ht="17.35" hidden="false" customHeight="false" outlineLevel="0" collapsed="false">
      <c r="A22" s="1"/>
      <c r="B22" s="54" t="s">
        <v>140</v>
      </c>
      <c r="C22" s="81" t="n">
        <f aca="false">C20/12</f>
        <v>455</v>
      </c>
      <c r="D22" s="1"/>
      <c r="E22" s="1"/>
    </row>
    <row r="23" customFormat="false" ht="15" hidden="false" customHeight="false" outlineLevel="0" collapsed="false">
      <c r="A23" s="1"/>
      <c r="B23" s="1"/>
      <c r="C23" s="1"/>
      <c r="D23" s="1"/>
      <c r="E23" s="1"/>
    </row>
    <row r="24" customFormat="false" ht="15" hidden="false" customHeight="false" outlineLevel="0" collapsed="false">
      <c r="A24" s="1"/>
      <c r="B24" s="1"/>
      <c r="C24" s="1"/>
      <c r="D24" s="1"/>
      <c r="E24" s="1"/>
    </row>
    <row r="25" customFormat="false" ht="15" hidden="false" customHeight="false" outlineLevel="0" collapsed="false">
      <c r="A25" s="1"/>
      <c r="B25" s="82" t="s">
        <v>141</v>
      </c>
      <c r="C25" s="83" t="n">
        <f aca="false">C20</f>
        <v>5460</v>
      </c>
      <c r="D25" s="1"/>
      <c r="E25" s="1"/>
    </row>
    <row r="26" customFormat="false" ht="15" hidden="false" customHeight="false" outlineLevel="0" collapsed="false">
      <c r="A26" s="1"/>
      <c r="B26" s="82" t="s">
        <v>142</v>
      </c>
      <c r="C26" s="83" t="n">
        <f aca="false">C14+C15+C16</f>
        <v>1190</v>
      </c>
      <c r="D26" s="1"/>
      <c r="E26" s="1"/>
    </row>
    <row r="27" customFormat="false" ht="15" hidden="false" customHeight="false" outlineLevel="0" collapsed="false">
      <c r="A27" s="1"/>
      <c r="B27" s="82" t="s">
        <v>136</v>
      </c>
      <c r="C27" s="83" t="n">
        <f aca="false">C17</f>
        <v>350</v>
      </c>
      <c r="D27" s="1"/>
      <c r="E27" s="1"/>
    </row>
    <row r="28" customFormat="false" ht="15" hidden="false" customHeight="false" outlineLevel="0" collapsed="false">
      <c r="A28" s="1"/>
      <c r="B28" s="1"/>
      <c r="C28" s="1"/>
      <c r="D28" s="1"/>
      <c r="E28" s="1"/>
    </row>
    <row r="29" customFormat="false" ht="15" hidden="false" customHeight="false" outlineLevel="0" collapsed="false">
      <c r="A29" s="1"/>
      <c r="B29" s="1"/>
      <c r="C29" s="1"/>
      <c r="D29" s="1"/>
      <c r="E29" s="1"/>
    </row>
  </sheetData>
  <mergeCells count="1">
    <mergeCell ref="B1:D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64748B"/>
    <pageSetUpPr fitToPage="false"/>
  </sheetPr>
  <dimension ref="A1:C3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80"/>
    <col collapsed="false" customWidth="true" hidden="false" outlineLevel="0" max="3" min="3" style="0" width="3"/>
  </cols>
  <sheetData>
    <row r="1" customFormat="false" ht="22.05" hidden="false" customHeight="false" outlineLevel="0" collapsed="false">
      <c r="A1" s="1"/>
      <c r="B1" s="84" t="s">
        <v>143</v>
      </c>
      <c r="C1" s="1"/>
    </row>
    <row r="2" customFormat="false" ht="15" hidden="false" customHeight="false" outlineLevel="0" collapsed="false">
      <c r="A2" s="1"/>
      <c r="B2" s="1"/>
      <c r="C2" s="1"/>
    </row>
    <row r="3" customFormat="false" ht="17.35" hidden="false" customHeight="false" outlineLevel="0" collapsed="false">
      <c r="A3" s="1"/>
      <c r="B3" s="52" t="s">
        <v>144</v>
      </c>
      <c r="C3" s="1"/>
    </row>
    <row r="4" customFormat="false" ht="15" hidden="false" customHeight="false" outlineLevel="0" collapsed="false">
      <c r="A4" s="1"/>
      <c r="B4" s="54" t="s">
        <v>145</v>
      </c>
      <c r="C4" s="1"/>
    </row>
    <row r="5" customFormat="false" ht="15" hidden="false" customHeight="false" outlineLevel="0" collapsed="false">
      <c r="A5" s="1"/>
      <c r="B5" s="54" t="s">
        <v>146</v>
      </c>
      <c r="C5" s="1"/>
    </row>
    <row r="6" customFormat="false" ht="15" hidden="false" customHeight="false" outlineLevel="0" collapsed="false">
      <c r="A6" s="1"/>
      <c r="B6" s="54" t="s">
        <v>147</v>
      </c>
      <c r="C6" s="1"/>
    </row>
    <row r="7" customFormat="false" ht="15" hidden="false" customHeight="false" outlineLevel="0" collapsed="false">
      <c r="A7" s="1"/>
      <c r="B7" s="1"/>
      <c r="C7" s="1"/>
    </row>
    <row r="8" customFormat="false" ht="17.35" hidden="false" customHeight="false" outlineLevel="0" collapsed="false">
      <c r="A8" s="1"/>
      <c r="B8" s="52" t="s">
        <v>148</v>
      </c>
      <c r="C8" s="1"/>
    </row>
    <row r="9" customFormat="false" ht="15" hidden="false" customHeight="false" outlineLevel="0" collapsed="false">
      <c r="A9" s="1"/>
      <c r="B9" s="54" t="s">
        <v>149</v>
      </c>
      <c r="C9" s="1"/>
    </row>
    <row r="10" customFormat="false" ht="15" hidden="false" customHeight="false" outlineLevel="0" collapsed="false">
      <c r="A10" s="1"/>
      <c r="B10" s="54" t="s">
        <v>150</v>
      </c>
      <c r="C10" s="1"/>
    </row>
    <row r="11" customFormat="false" ht="15" hidden="false" customHeight="false" outlineLevel="0" collapsed="false">
      <c r="A11" s="1"/>
      <c r="B11" s="54" t="s">
        <v>151</v>
      </c>
      <c r="C11" s="1"/>
    </row>
    <row r="12" customFormat="false" ht="15" hidden="false" customHeight="false" outlineLevel="0" collapsed="false">
      <c r="A12" s="1"/>
      <c r="B12" s="1"/>
      <c r="C12" s="1"/>
    </row>
    <row r="13" customFormat="false" ht="17.35" hidden="false" customHeight="false" outlineLevel="0" collapsed="false">
      <c r="A13" s="1"/>
      <c r="B13" s="52" t="s">
        <v>152</v>
      </c>
      <c r="C13" s="1"/>
    </row>
    <row r="14" customFormat="false" ht="15" hidden="false" customHeight="false" outlineLevel="0" collapsed="false">
      <c r="A14" s="1"/>
      <c r="B14" s="54" t="s">
        <v>153</v>
      </c>
      <c r="C14" s="1"/>
    </row>
    <row r="15" customFormat="false" ht="15" hidden="false" customHeight="false" outlineLevel="0" collapsed="false">
      <c r="A15" s="1"/>
      <c r="B15" s="54" t="s">
        <v>154</v>
      </c>
      <c r="C15" s="1"/>
    </row>
    <row r="16" customFormat="false" ht="15" hidden="false" customHeight="false" outlineLevel="0" collapsed="false">
      <c r="A16" s="1"/>
      <c r="B16" s="1"/>
      <c r="C16" s="1"/>
    </row>
    <row r="17" customFormat="false" ht="17.35" hidden="false" customHeight="false" outlineLevel="0" collapsed="false">
      <c r="A17" s="1"/>
      <c r="B17" s="52" t="s">
        <v>155</v>
      </c>
      <c r="C17" s="1"/>
    </row>
    <row r="18" customFormat="false" ht="15" hidden="false" customHeight="false" outlineLevel="0" collapsed="false">
      <c r="A18" s="1"/>
      <c r="B18" s="54" t="s">
        <v>156</v>
      </c>
      <c r="C18" s="1"/>
    </row>
    <row r="19" customFormat="false" ht="15" hidden="false" customHeight="false" outlineLevel="0" collapsed="false">
      <c r="A19" s="1"/>
      <c r="B19" s="54" t="s">
        <v>157</v>
      </c>
      <c r="C19" s="1"/>
    </row>
    <row r="20" customFormat="false" ht="15" hidden="false" customHeight="false" outlineLevel="0" collapsed="false">
      <c r="A20" s="1"/>
      <c r="B20" s="1"/>
      <c r="C20" s="1"/>
    </row>
    <row r="21" customFormat="false" ht="17.35" hidden="false" customHeight="false" outlineLevel="0" collapsed="false">
      <c r="A21" s="1"/>
      <c r="B21" s="52" t="s">
        <v>158</v>
      </c>
      <c r="C21" s="1"/>
    </row>
    <row r="22" customFormat="false" ht="15" hidden="false" customHeight="false" outlineLevel="0" collapsed="false">
      <c r="A22" s="1"/>
      <c r="B22" s="54" t="s">
        <v>159</v>
      </c>
      <c r="C22" s="1"/>
    </row>
    <row r="23" customFormat="false" ht="15" hidden="false" customHeight="false" outlineLevel="0" collapsed="false">
      <c r="A23" s="1"/>
      <c r="B23" s="54" t="s">
        <v>160</v>
      </c>
      <c r="C23" s="1"/>
    </row>
    <row r="24" customFormat="false" ht="15" hidden="false" customHeight="false" outlineLevel="0" collapsed="false">
      <c r="A24" s="1"/>
      <c r="B24" s="1"/>
      <c r="C24" s="1"/>
    </row>
    <row r="25" customFormat="false" ht="17.35" hidden="false" customHeight="false" outlineLevel="0" collapsed="false">
      <c r="A25" s="1"/>
      <c r="B25" s="52" t="s">
        <v>161</v>
      </c>
      <c r="C25" s="1"/>
    </row>
    <row r="26" customFormat="false" ht="15" hidden="false" customHeight="false" outlineLevel="0" collapsed="false">
      <c r="A26" s="1"/>
      <c r="B26" s="54" t="s">
        <v>162</v>
      </c>
      <c r="C26" s="1"/>
    </row>
    <row r="27" customFormat="false" ht="15" hidden="false" customHeight="false" outlineLevel="0" collapsed="false">
      <c r="A27" s="1"/>
      <c r="B27" s="54" t="s">
        <v>163</v>
      </c>
      <c r="C27" s="1"/>
    </row>
    <row r="28" customFormat="false" ht="15" hidden="false" customHeight="false" outlineLevel="0" collapsed="false">
      <c r="A28" s="1"/>
      <c r="B28" s="1"/>
      <c r="C28" s="1"/>
    </row>
    <row r="29" customFormat="false" ht="17.35" hidden="false" customHeight="false" outlineLevel="0" collapsed="false">
      <c r="A29" s="1"/>
      <c r="B29" s="52" t="s">
        <v>164</v>
      </c>
      <c r="C29" s="1"/>
    </row>
    <row r="30" customFormat="false" ht="15" hidden="false" customHeight="false" outlineLevel="0" collapsed="false">
      <c r="A30" s="1"/>
      <c r="B30" s="54" t="s">
        <v>165</v>
      </c>
      <c r="C30" s="1"/>
    </row>
    <row r="31" customFormat="false" ht="15" hidden="false" customHeight="false" outlineLevel="0" collapsed="false">
      <c r="A31" s="1"/>
      <c r="B31" s="54" t="s">
        <v>166</v>
      </c>
      <c r="C31" s="1"/>
    </row>
    <row r="32" customFormat="false" ht="15" hidden="false" customHeight="false" outlineLevel="0" collapsed="false">
      <c r="A32" s="1"/>
      <c r="B32" s="54" t="s">
        <v>167</v>
      </c>
      <c r="C32" s="1"/>
    </row>
    <row r="33" customFormat="false" ht="15" hidden="false" customHeight="false" outlineLevel="0" collapsed="false">
      <c r="A33" s="1"/>
      <c r="B33" s="54" t="s">
        <v>168</v>
      </c>
      <c r="C33" s="1"/>
    </row>
    <row r="34" customFormat="false" ht="15" hidden="false" customHeight="false" outlineLevel="0" collapsed="false">
      <c r="A34" s="1"/>
      <c r="B34" s="1"/>
      <c r="C34" s="1"/>
    </row>
    <row r="35" customFormat="false" ht="15" hidden="false" customHeight="false" outlineLevel="0" collapsed="false">
      <c r="B35" s="85" t="s">
        <v>169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2026-03-28T20:06:42Z</dcterms:created>
  <dc:creator>openpyxl</dc:creator>
  <dc:description/>
  <dc:language>en-US</dc:language>
  <cp:lastModifiedBy/>
  <dcterms:modified xsi:type="dcterms:W3CDTF">2026-03-28T20:06:51Z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